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HUELVA\"/>
    </mc:Choice>
  </mc:AlternateContent>
  <workbookProtection workbookAlgorithmName="SHA-512" workbookHashValue="DUvAi0Cnt2Pu4TnE0FU4kHSZ5gMbmv11uw7k8mk4aXPqfSCODyXcZ4bGPJcM/Ia9uONBy9rlNlgLym6NhRkFOQ==" workbookSaltValue="6O5JgVnlb4M4gyB14p7jQA==" workbookSpinCount="100000" lockStructure="1"/>
  <bookViews>
    <workbookView xWindow="-120" yWindow="-120" windowWidth="29040" windowHeight="1572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Z15" i="20" l="1"/>
  <c r="BZ16" i="20"/>
  <c r="BZ17" i="20"/>
  <c r="BZ10" i="20"/>
  <c r="BZ11" i="20"/>
  <c r="BZ12" i="20"/>
  <c r="BZ9" i="20"/>
  <c r="BQ17" i="2"/>
  <c r="BQ16" i="2"/>
  <c r="BQ15" i="2"/>
  <c r="BQ14" i="2"/>
  <c r="BQ12" i="2"/>
  <c r="BQ11" i="2"/>
  <c r="BQ10" i="2"/>
  <c r="BQ9" i="2"/>
  <c r="BZ17" i="3"/>
  <c r="BZ16" i="3"/>
  <c r="BZ15" i="3"/>
  <c r="BZ14" i="3"/>
  <c r="BZ12" i="3"/>
  <c r="BZ11" i="3"/>
  <c r="BZ10" i="3"/>
  <c r="BZ9" i="3"/>
  <c r="BZ17" i="21"/>
  <c r="BZ16" i="21"/>
  <c r="BZ15" i="21"/>
  <c r="BZ14" i="21"/>
  <c r="BZ12" i="21"/>
  <c r="BZ11" i="21"/>
  <c r="BZ10" i="21"/>
  <c r="BZ9" i="21"/>
  <c r="BZ17" i="17"/>
  <c r="BZ16" i="17"/>
  <c r="BZ15" i="17"/>
  <c r="BZ14" i="17"/>
  <c r="BZ12" i="17"/>
  <c r="BZ11" i="17"/>
  <c r="BZ10" i="17"/>
  <c r="BZ9" i="17"/>
  <c r="BZ17" i="16"/>
  <c r="BZ16" i="16"/>
  <c r="BZ15" i="16"/>
  <c r="BZ14" i="16"/>
  <c r="BZ12" i="16"/>
  <c r="BZ11" i="16"/>
  <c r="BZ10" i="16"/>
  <c r="BZ9" i="16"/>
  <c r="BZ10" i="14"/>
  <c r="BZ11" i="14"/>
  <c r="BZ12" i="14"/>
  <c r="BZ15" i="14"/>
  <c r="BZ16" i="14"/>
  <c r="BZ17" i="14"/>
  <c r="BZ9" i="14"/>
  <c r="AD9" i="14"/>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9" i="8"/>
  <c r="EW18" i="8"/>
  <c r="BP26" i="16"/>
  <c r="BP25" i="16"/>
  <c r="EW13" i="13"/>
  <c r="EW18" i="13"/>
  <c r="AW16" i="11"/>
  <c r="AW17" i="11"/>
  <c r="AW15" i="11"/>
  <c r="AW10" i="11"/>
  <c r="AW11" i="11"/>
  <c r="AW12" i="11"/>
  <c r="AW9" i="11"/>
  <c r="AW26" i="11"/>
  <c r="AW25" i="11"/>
  <c r="EV18" i="19"/>
  <c r="EV13" i="19"/>
  <c r="EV18" i="8"/>
  <c r="EV13" i="8"/>
  <c r="EV18" i="13"/>
  <c r="EV13" i="13"/>
  <c r="W12" i="21"/>
  <c r="AW20" i="20"/>
  <c r="AY20" i="20"/>
  <c r="AW13" i="11" l="1"/>
  <c r="EV19" i="19"/>
  <c r="EW19" i="19"/>
  <c r="AU13" i="17"/>
  <c r="AW18" i="11"/>
  <c r="BP18" i="16"/>
  <c r="BP13" i="16"/>
  <c r="AX13" i="21"/>
  <c r="AY19" i="20"/>
  <c r="AW18" i="20"/>
  <c r="AW13" i="20"/>
  <c r="AU18" i="17"/>
  <c r="EV19" i="8"/>
  <c r="EV19" i="13"/>
  <c r="AU19" i="17" l="1"/>
  <c r="AX21" i="21"/>
  <c r="BR19" i="16"/>
  <c r="AW21" i="11"/>
  <c r="BB16" i="13"/>
  <c r="BA16" i="13"/>
  <c r="BB15" i="13"/>
  <c r="BA15" i="13"/>
  <c r="AZ16" i="13"/>
  <c r="AZ15" i="13"/>
  <c r="AY16" i="13"/>
  <c r="AY15" i="13"/>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T11" i="17"/>
  <c r="T12" i="17"/>
  <c r="T9" i="17"/>
  <c r="W9" i="16"/>
  <c r="V13" i="20"/>
  <c r="U13" i="20"/>
  <c r="L9" i="16"/>
  <c r="L10" i="16"/>
  <c r="L11" i="16"/>
  <c r="L12" i="16"/>
  <c r="L15" i="16"/>
  <c r="L16" i="16"/>
  <c r="L17" i="16"/>
  <c r="L25" i="16"/>
  <c r="L26" i="16"/>
  <c r="K17" i="2"/>
  <c r="K16" i="2"/>
  <c r="K15" i="2"/>
  <c r="K12" i="2"/>
  <c r="K11" i="2"/>
  <c r="K10" i="2"/>
  <c r="K9" i="2"/>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2" i="2"/>
  <c r="N11" i="2"/>
  <c r="N10" i="2"/>
  <c r="N9" i="2"/>
  <c r="M17" i="2"/>
  <c r="M16" i="2"/>
  <c r="M15" i="2"/>
  <c r="M12" i="2"/>
  <c r="M11" i="2"/>
  <c r="M10" i="2"/>
  <c r="M9" i="2"/>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O19" i="8" s="1"/>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Y12" i="21"/>
  <c r="Y13" i="21" s="1"/>
  <c r="N12" i="21"/>
  <c r="G12" i="21"/>
  <c r="E12" i="21"/>
  <c r="T12" i="21" s="1"/>
  <c r="C12" i="21"/>
  <c r="A12" i="21"/>
  <c r="AF11" i="21"/>
  <c r="F11" i="21" s="1"/>
  <c r="G11" i="21"/>
  <c r="E11" i="21"/>
  <c r="C11" i="21"/>
  <c r="A11" i="21"/>
  <c r="AZ10" i="21"/>
  <c r="AR10" i="21"/>
  <c r="AF10" i="21"/>
  <c r="AB10" i="21"/>
  <c r="N10" i="21"/>
  <c r="H10" i="2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AT17" i="20" s="1"/>
  <c r="O17" i="20"/>
  <c r="N17" i="20"/>
  <c r="N18" i="20" s="1"/>
  <c r="M17" i="20"/>
  <c r="M18" i="20" s="1"/>
  <c r="L17" i="20"/>
  <c r="K17" i="20"/>
  <c r="J17" i="20"/>
  <c r="I17" i="20"/>
  <c r="G17" i="20"/>
  <c r="E17" i="20"/>
  <c r="S17" i="20" s="1"/>
  <c r="C17" i="20"/>
  <c r="A17" i="20"/>
  <c r="C15" i="20"/>
  <c r="A15" i="20"/>
  <c r="C14" i="20"/>
  <c r="C13" i="20"/>
  <c r="AX13" i="20"/>
  <c r="AN13" i="20"/>
  <c r="AL13" i="20"/>
  <c r="AK13" i="20"/>
  <c r="AJ13" i="20"/>
  <c r="AI13" i="20"/>
  <c r="AH13" i="20"/>
  <c r="AG13" i="20"/>
  <c r="AF13" i="20"/>
  <c r="AE13" i="20"/>
  <c r="AD13" i="20"/>
  <c r="AC13" i="20"/>
  <c r="AB13" i="20"/>
  <c r="Z13" i="20"/>
  <c r="Y13" i="20"/>
  <c r="W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S13" i="20"/>
  <c r="C5" i="20"/>
  <c r="C2" i="20"/>
  <c r="C1" i="20"/>
  <c r="BG10" i="16"/>
  <c r="E10" i="16"/>
  <c r="CP19" i="19"/>
  <c r="CO19" i="19"/>
  <c r="CN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CI13" i="19"/>
  <c r="CH13" i="19"/>
  <c r="CG13" i="19"/>
  <c r="CF13" i="19"/>
  <c r="CE13" i="19"/>
  <c r="CD13" i="19"/>
  <c r="CC13" i="19"/>
  <c r="CB13" i="19"/>
  <c r="CA13" i="19"/>
  <c r="BM13" i="19"/>
  <c r="BM19" i="19" s="1"/>
  <c r="BL13" i="19"/>
  <c r="BK13" i="19"/>
  <c r="BJ13" i="19"/>
  <c r="BI13" i="19"/>
  <c r="BH13" i="19"/>
  <c r="AT13" i="19"/>
  <c r="AT19" i="19" s="1"/>
  <c r="AS13" i="19"/>
  <c r="AR13" i="19"/>
  <c r="AQ13" i="19"/>
  <c r="AP13" i="19"/>
  <c r="AO13" i="19"/>
  <c r="AN13" i="19"/>
  <c r="AM13" i="19"/>
  <c r="AL13" i="19"/>
  <c r="AK13" i="19"/>
  <c r="AJ13" i="19"/>
  <c r="AI13" i="19"/>
  <c r="AH13" i="19"/>
  <c r="AG13" i="19"/>
  <c r="AF13" i="19"/>
  <c r="AE13" i="19"/>
  <c r="AD13" i="19"/>
  <c r="AC13" i="19"/>
  <c r="AB13" i="19"/>
  <c r="AA13" i="19"/>
  <c r="Z13" i="19"/>
  <c r="Y13" i="19"/>
  <c r="X13" i="19"/>
  <c r="W13" i="19"/>
  <c r="V13" i="19"/>
  <c r="U13" i="19"/>
  <c r="T13" i="19"/>
  <c r="S13" i="19"/>
  <c r="R13" i="19"/>
  <c r="Q13" i="19"/>
  <c r="P13" i="19"/>
  <c r="O13" i="19"/>
  <c r="N13" i="19"/>
  <c r="M13" i="19"/>
  <c r="L13" i="19"/>
  <c r="K13" i="19"/>
  <c r="J13" i="19"/>
  <c r="AO13" i="20" s="1"/>
  <c r="I13" i="19"/>
  <c r="A5" i="19"/>
  <c r="B4" i="19"/>
  <c r="A4" i="19"/>
  <c r="B3" i="19"/>
  <c r="A3" i="19"/>
  <c r="B2" i="19"/>
  <c r="A2" i="19"/>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D15" i="2" s="1"/>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8" i="16"/>
  <c r="AO13" i="16"/>
  <c r="AN13" i="16"/>
  <c r="AN18" i="16"/>
  <c r="AE10" i="17"/>
  <c r="AE11" i="17"/>
  <c r="AE12" i="17"/>
  <c r="AE15" i="17"/>
  <c r="AE16" i="17"/>
  <c r="AE17" i="17"/>
  <c r="AE9" i="17"/>
  <c r="AM10" i="16"/>
  <c r="AM11" i="16"/>
  <c r="AM12" i="16"/>
  <c r="AM15" i="16"/>
  <c r="AM16" i="16"/>
  <c r="AM17" i="16"/>
  <c r="AM9" i="16"/>
  <c r="AD13" i="17"/>
  <c r="AD18" i="17"/>
  <c r="AC13" i="17"/>
  <c r="AB13" i="17"/>
  <c r="AL18" i="16"/>
  <c r="AK13" i="16"/>
  <c r="AK18" i="16"/>
  <c r="AG13" i="16"/>
  <c r="AG18" i="16"/>
  <c r="AA17" i="17"/>
  <c r="AA16" i="17"/>
  <c r="AA15" i="17"/>
  <c r="AF17" i="16"/>
  <c r="AF16" i="16"/>
  <c r="AF15" i="16"/>
  <c r="Y16" i="17"/>
  <c r="Y17" i="17"/>
  <c r="Y15" i="17"/>
  <c r="AB17" i="16"/>
  <c r="AB16" i="16"/>
  <c r="AB15" i="16"/>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A12" i="13"/>
  <c r="BA11" i="13"/>
  <c r="BD11" i="13" s="1"/>
  <c r="AZ12" i="13"/>
  <c r="AZ11" i="13"/>
  <c r="AY12" i="13"/>
  <c r="BG12" i="13" s="1"/>
  <c r="AY11" i="13"/>
  <c r="BB9" i="13"/>
  <c r="BA9" i="13"/>
  <c r="AY9" i="13"/>
  <c r="BC12" i="13"/>
  <c r="BC11" i="13"/>
  <c r="BC10" i="13"/>
  <c r="BB10" i="13"/>
  <c r="BE10" i="13" s="1"/>
  <c r="BA10" i="13"/>
  <c r="AZ10" i="13"/>
  <c r="BG10" i="13" s="1"/>
  <c r="AY10" i="13"/>
  <c r="BC9" i="13"/>
  <c r="BC17" i="13"/>
  <c r="BB17" i="13"/>
  <c r="BB18" i="13" s="1"/>
  <c r="BA17" i="13"/>
  <c r="AZ17" i="13"/>
  <c r="AZ18" i="13" s="1"/>
  <c r="AY17" i="13"/>
  <c r="BC16" i="13"/>
  <c r="BF16" i="13" s="1"/>
  <c r="BG16" i="13"/>
  <c r="BC15" i="13"/>
  <c r="BD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8" i="8"/>
  <c r="BM19" i="8" s="1"/>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AO18" i="8"/>
  <c r="AN18" i="8"/>
  <c r="AM18" i="8"/>
  <c r="AL18" i="8"/>
  <c r="AK18" i="8"/>
  <c r="AJ18" i="8"/>
  <c r="T18" i="12" s="1"/>
  <c r="AI18" i="8"/>
  <c r="S18" i="12" s="1"/>
  <c r="AH18" i="8"/>
  <c r="AG18" i="8"/>
  <c r="Q18" i="12" s="1"/>
  <c r="AF18" i="8"/>
  <c r="AE18" i="8"/>
  <c r="AD18" i="8"/>
  <c r="AC18" i="8"/>
  <c r="AB18" i="8"/>
  <c r="AA18" i="8"/>
  <c r="Z18" i="8"/>
  <c r="Y18" i="8"/>
  <c r="X18" i="8"/>
  <c r="W18" i="8"/>
  <c r="V18" i="8"/>
  <c r="U18" i="8"/>
  <c r="T18" i="8"/>
  <c r="S18" i="8"/>
  <c r="R18" i="8"/>
  <c r="Q18" i="8"/>
  <c r="P18" i="8"/>
  <c r="O18" i="8"/>
  <c r="M18" i="8"/>
  <c r="N18" i="8"/>
  <c r="L18" i="8"/>
  <c r="K18" i="8"/>
  <c r="D18" i="7" s="1"/>
  <c r="J18" i="8"/>
  <c r="C18" i="7" s="1"/>
  <c r="I18" i="8"/>
  <c r="D18" i="12" s="1"/>
  <c r="CF13" i="8"/>
  <c r="N13" i="12" s="1"/>
  <c r="CE13" i="8"/>
  <c r="M13" i="12" s="1"/>
  <c r="CD13" i="8"/>
  <c r="CC13" i="8"/>
  <c r="CB13" i="8"/>
  <c r="CA13" i="8"/>
  <c r="BL13" i="8"/>
  <c r="BK13" i="8"/>
  <c r="BJ13" i="8"/>
  <c r="BI13" i="8"/>
  <c r="BH13" i="8"/>
  <c r="AR13" i="8"/>
  <c r="C13" i="3" s="1"/>
  <c r="AQ13" i="8"/>
  <c r="AP13" i="8"/>
  <c r="B13" i="3" s="1"/>
  <c r="AO13" i="8"/>
  <c r="AN13" i="8"/>
  <c r="AM13" i="8"/>
  <c r="AL13" i="8"/>
  <c r="AK13" i="8"/>
  <c r="AJ13" i="8"/>
  <c r="AI13" i="8"/>
  <c r="S13" i="12" s="1"/>
  <c r="AH13" i="8"/>
  <c r="R13" i="12" s="1"/>
  <c r="AG13" i="8"/>
  <c r="Q13" i="12" s="1"/>
  <c r="AF13" i="8"/>
  <c r="AE13" i="8"/>
  <c r="AD13" i="8"/>
  <c r="AC13" i="8"/>
  <c r="AB13" i="8"/>
  <c r="AA13" i="8"/>
  <c r="Z13" i="8"/>
  <c r="Y13" i="8"/>
  <c r="X13" i="8"/>
  <c r="W13" i="8"/>
  <c r="V13" i="8"/>
  <c r="U13" i="8"/>
  <c r="T13" i="8"/>
  <c r="S13" i="8"/>
  <c r="R13" i="8"/>
  <c r="Q13" i="8"/>
  <c r="P13" i="8"/>
  <c r="O13" i="8"/>
  <c r="N13" i="8"/>
  <c r="M13" i="8"/>
  <c r="F13" i="7" s="1"/>
  <c r="L13" i="8"/>
  <c r="K13" i="8"/>
  <c r="D13" i="7" s="1"/>
  <c r="J13" i="8"/>
  <c r="C13" i="7" s="1"/>
  <c r="I13" i="8"/>
  <c r="B13" i="7" s="1"/>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S5" i="9"/>
  <c r="S6" i="9"/>
  <c r="S3" i="9"/>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B16" i="11"/>
  <c r="AB15" i="11"/>
  <c r="AB12" i="11"/>
  <c r="AB11" i="11"/>
  <c r="AB10" i="1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Y9" i="11" s="1"/>
  <c r="W10" i="11"/>
  <c r="W11" i="11"/>
  <c r="W12" i="11"/>
  <c r="W15" i="11"/>
  <c r="Y15" i="11" s="1"/>
  <c r="W16" i="11"/>
  <c r="W17" i="11"/>
  <c r="I15" i="2"/>
  <c r="I16" i="2"/>
  <c r="I17" i="2"/>
  <c r="G15" i="2"/>
  <c r="G16" i="2"/>
  <c r="G17" i="2"/>
  <c r="E15" i="2"/>
  <c r="E16" i="2"/>
  <c r="E17" i="2"/>
  <c r="C16" i="2"/>
  <c r="D16" i="2" s="1"/>
  <c r="C17" i="2"/>
  <c r="D17" i="2" s="1"/>
  <c r="I9" i="2"/>
  <c r="I10" i="2"/>
  <c r="I11" i="2"/>
  <c r="I12" i="2"/>
  <c r="C10" i="2"/>
  <c r="D10" i="2" s="1"/>
  <c r="C11" i="2"/>
  <c r="D11" i="2" s="1"/>
  <c r="C12" i="2"/>
  <c r="D12" i="2" s="1"/>
  <c r="G9" i="2"/>
  <c r="G10" i="2"/>
  <c r="G11" i="2"/>
  <c r="G12" i="2"/>
  <c r="E9" i="2"/>
  <c r="E10" i="2"/>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BB15" i="8"/>
  <c r="BA15" i="8"/>
  <c r="AZ15" i="8"/>
  <c r="AY15" i="8"/>
  <c r="BB12" i="8"/>
  <c r="BA12" i="8"/>
  <c r="AZ12" i="8"/>
  <c r="AY12" i="8"/>
  <c r="BB11" i="8"/>
  <c r="BA11" i="8"/>
  <c r="AZ11" i="8"/>
  <c r="AY11" i="8"/>
  <c r="BB9" i="8"/>
  <c r="BA9" i="8"/>
  <c r="BD9" i="8" s="1"/>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Y13" i="13"/>
  <c r="Z13" i="13"/>
  <c r="AA13" i="13"/>
  <c r="AB13" i="13"/>
  <c r="AC13" i="13"/>
  <c r="AD13" i="13"/>
  <c r="AE13" i="13"/>
  <c r="AF13" i="13"/>
  <c r="AG13" i="13"/>
  <c r="AH13" i="13"/>
  <c r="AI13" i="13"/>
  <c r="AJ13" i="13"/>
  <c r="AK13" i="13"/>
  <c r="AL13" i="13"/>
  <c r="AM13" i="13"/>
  <c r="AN13" i="13"/>
  <c r="AO13" i="13"/>
  <c r="AP13" i="13"/>
  <c r="AQ13" i="13"/>
  <c r="AR13" i="13"/>
  <c r="BH13" i="13"/>
  <c r="BI13" i="13"/>
  <c r="BK13" i="13"/>
  <c r="BK19" i="13" s="1"/>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W19" i="13"/>
  <c r="BM19" i="13"/>
  <c r="B2" i="8"/>
  <c r="A3" i="8"/>
  <c r="B3" i="8"/>
  <c r="A4" i="8"/>
  <c r="B4" i="8"/>
  <c r="A5" i="8"/>
  <c r="BC9" i="8"/>
  <c r="AY10" i="8"/>
  <c r="AZ10" i="8"/>
  <c r="BG10" i="8" s="1"/>
  <c r="BA10" i="8"/>
  <c r="BB10" i="8"/>
  <c r="BC10" i="8"/>
  <c r="BC11" i="8"/>
  <c r="BC12" i="8"/>
  <c r="BC15" i="8"/>
  <c r="BC16" i="8"/>
  <c r="AY17" i="8"/>
  <c r="AZ17" i="8"/>
  <c r="BA17" i="8"/>
  <c r="BB17" i="8"/>
  <c r="BC17" i="8"/>
  <c r="BF17" i="8" s="1"/>
  <c r="AC19" i="8"/>
  <c r="BK19"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A11" i="3"/>
  <c r="C11" i="3"/>
  <c r="D11" i="3"/>
  <c r="F11" i="3"/>
  <c r="H11" i="3"/>
  <c r="I11" i="3" s="1"/>
  <c r="A12" i="3"/>
  <c r="C12" i="3"/>
  <c r="D12" i="3"/>
  <c r="F12" i="3"/>
  <c r="H12" i="3"/>
  <c r="A13" i="3"/>
  <c r="A14" i="3"/>
  <c r="A15" i="3"/>
  <c r="C15" i="3"/>
  <c r="D15" i="3"/>
  <c r="F15" i="3"/>
  <c r="H15" i="3"/>
  <c r="A16" i="3"/>
  <c r="C16" i="3"/>
  <c r="D16" i="3"/>
  <c r="F16" i="3"/>
  <c r="H16" i="3"/>
  <c r="A17" i="3"/>
  <c r="C17" i="3"/>
  <c r="D17" i="3"/>
  <c r="F17" i="3"/>
  <c r="H17" i="3"/>
  <c r="A19" i="3"/>
  <c r="A22" i="3"/>
  <c r="B2" i="10"/>
  <c r="B3" i="10"/>
  <c r="B4" i="10"/>
  <c r="A5" i="10"/>
  <c r="A8" i="10"/>
  <c r="A9" i="10"/>
  <c r="B9" i="10"/>
  <c r="C9" i="10"/>
  <c r="D9" i="10"/>
  <c r="E9" i="10"/>
  <c r="F9" i="10" s="1"/>
  <c r="H9" i="10"/>
  <c r="A10" i="10"/>
  <c r="B10" i="10"/>
  <c r="C10" i="10"/>
  <c r="D10" i="10"/>
  <c r="I10" i="10" s="1"/>
  <c r="K10" i="10" s="1"/>
  <c r="E10" i="10"/>
  <c r="F10" i="10" s="1"/>
  <c r="H10" i="10"/>
  <c r="A11" i="10"/>
  <c r="B11" i="10"/>
  <c r="C11" i="10"/>
  <c r="D11" i="10"/>
  <c r="I11" i="10" s="1"/>
  <c r="K11" i="10" s="1"/>
  <c r="E11" i="10"/>
  <c r="H11" i="10"/>
  <c r="A12" i="10"/>
  <c r="B12" i="10"/>
  <c r="C12" i="10"/>
  <c r="D12" i="10"/>
  <c r="I12" i="10" s="1"/>
  <c r="K12" i="10" s="1"/>
  <c r="E12" i="10"/>
  <c r="F12" i="10" s="1"/>
  <c r="H12" i="10"/>
  <c r="A14" i="10"/>
  <c r="A15" i="10"/>
  <c r="B15" i="10"/>
  <c r="C15" i="10"/>
  <c r="D15" i="10"/>
  <c r="I15" i="10" s="1"/>
  <c r="K15" i="10" s="1"/>
  <c r="E15" i="10"/>
  <c r="F15" i="10" s="1"/>
  <c r="H15" i="10"/>
  <c r="A16" i="10"/>
  <c r="B16" i="10"/>
  <c r="C16" i="10"/>
  <c r="D16" i="10"/>
  <c r="I16" i="10" s="1"/>
  <c r="K16" i="10" s="1"/>
  <c r="E16" i="10"/>
  <c r="H16" i="10"/>
  <c r="A17" i="10"/>
  <c r="B17" i="10"/>
  <c r="C17" i="10"/>
  <c r="D17" i="10"/>
  <c r="I17" i="10" s="1"/>
  <c r="K17" i="10" s="1"/>
  <c r="E17" i="10"/>
  <c r="F17" i="10" s="1"/>
  <c r="H17" i="10"/>
  <c r="A23" i="10"/>
  <c r="B2" i="2"/>
  <c r="B3" i="2"/>
  <c r="B4" i="2"/>
  <c r="A8" i="2"/>
  <c r="A9" i="2"/>
  <c r="B9" i="2"/>
  <c r="A10" i="2"/>
  <c r="B10" i="2"/>
  <c r="A11" i="2"/>
  <c r="B11" i="2"/>
  <c r="A12" i="2"/>
  <c r="B12" i="2"/>
  <c r="A13" i="2"/>
  <c r="B13" i="2"/>
  <c r="A14" i="2"/>
  <c r="A15" i="2"/>
  <c r="B15" i="2"/>
  <c r="A16" i="2"/>
  <c r="B16" i="2"/>
  <c r="A17" i="2"/>
  <c r="B17" i="2"/>
  <c r="A18" i="2"/>
  <c r="A19" i="2"/>
  <c r="A20" i="2"/>
  <c r="A21" i="2"/>
  <c r="A23" i="2"/>
  <c r="O25" i="11"/>
  <c r="O26" i="11"/>
  <c r="B18" i="7"/>
  <c r="BD9" i="13"/>
  <c r="AN18" i="17"/>
  <c r="AS13" i="8"/>
  <c r="AZ13" i="19"/>
  <c r="BB13" i="19"/>
  <c r="BA18" i="19"/>
  <c r="AY13" i="19"/>
  <c r="BC13" i="19"/>
  <c r="AY18" i="19"/>
  <c r="BC18" i="19"/>
  <c r="BA13" i="19"/>
  <c r="BB18" i="19"/>
  <c r="AS18" i="21"/>
  <c r="R18" i="21"/>
  <c r="AI18" i="21"/>
  <c r="AH18" i="21"/>
  <c r="J18" i="21"/>
  <c r="AG18" i="21"/>
  <c r="N18" i="21"/>
  <c r="AN18" i="21"/>
  <c r="L18" i="21"/>
  <c r="L19" i="21" s="1"/>
  <c r="Q18" i="21"/>
  <c r="AY18" i="21"/>
  <c r="AE18" i="21"/>
  <c r="AJ18" i="21"/>
  <c r="AK18" i="21"/>
  <c r="H18" i="21"/>
  <c r="Z18" i="21"/>
  <c r="AM18" i="21"/>
  <c r="M18" i="21"/>
  <c r="AD18" i="21"/>
  <c r="AF18" i="21"/>
  <c r="K18" i="21"/>
  <c r="E18" i="21"/>
  <c r="AO18" i="21"/>
  <c r="AR18" i="21"/>
  <c r="G18" i="21"/>
  <c r="AB18" i="21"/>
  <c r="P18" i="21"/>
  <c r="AL18" i="21"/>
  <c r="F18" i="21"/>
  <c r="AC18" i="21"/>
  <c r="J13" i="20"/>
  <c r="E13" i="20"/>
  <c r="Q13" i="20"/>
  <c r="G13" i="20"/>
  <c r="K13" i="20"/>
  <c r="AT13" i="20"/>
  <c r="AA13" i="20"/>
  <c r="R13" i="20"/>
  <c r="F13" i="20"/>
  <c r="V18" i="21"/>
  <c r="T18" i="21"/>
  <c r="BD16" i="13"/>
  <c r="BE11" i="13"/>
  <c r="E18" i="12"/>
  <c r="ER19" i="8"/>
  <c r="AE13" i="21"/>
  <c r="AE19" i="21" s="1"/>
  <c r="EL19" i="8"/>
  <c r="BE12" i="21"/>
  <c r="BE13" i="21" s="1"/>
  <c r="BE19" i="21" s="1"/>
  <c r="EQ19" i="8"/>
  <c r="EN19" i="8"/>
  <c r="F12" i="21"/>
  <c r="BA13" i="16"/>
  <c r="H10" i="2"/>
  <c r="ES19" i="8"/>
  <c r="BH19" i="13"/>
  <c r="R8" i="9"/>
  <c r="T9" i="11" s="1"/>
  <c r="EP19" i="8"/>
  <c r="ER19" i="13"/>
  <c r="AL13" i="16"/>
  <c r="AJ13" i="16"/>
  <c r="EP19" i="19"/>
  <c r="BH17" i="16"/>
  <c r="S13" i="16"/>
  <c r="P13" i="16"/>
  <c r="AM13" i="20"/>
  <c r="K18" i="2"/>
  <c r="M13" i="2"/>
  <c r="M18" i="2"/>
  <c r="N13" i="2"/>
  <c r="N18" i="2"/>
  <c r="T13" i="12"/>
  <c r="V11" i="11"/>
  <c r="BG15" i="11"/>
  <c r="BU10" i="17"/>
  <c r="BU16" i="17"/>
  <c r="T13" i="16"/>
  <c r="AZ12" i="11"/>
  <c r="BH10" i="16"/>
  <c r="T13" i="20"/>
  <c r="BF15" i="8"/>
  <c r="BF9" i="8"/>
  <c r="AU18" i="21"/>
  <c r="AH13" i="16"/>
  <c r="L16" i="2"/>
  <c r="AP13" i="16"/>
  <c r="T18" i="17"/>
  <c r="BG15" i="13"/>
  <c r="BE16" i="13"/>
  <c r="BE15" i="13"/>
  <c r="AX20" i="20"/>
  <c r="S19" i="8" l="1"/>
  <c r="AB13" i="21"/>
  <c r="C12" i="14"/>
  <c r="K12" i="14" s="1"/>
  <c r="B9" i="6"/>
  <c r="BH16" i="11"/>
  <c r="BH10" i="11"/>
  <c r="BW11" i="20"/>
  <c r="AP17" i="20"/>
  <c r="BI15" i="11"/>
  <c r="BL17" i="11"/>
  <c r="AL16" i="11"/>
  <c r="C16" i="6"/>
  <c r="BE9" i="13"/>
  <c r="V9" i="16"/>
  <c r="U9" i="17"/>
  <c r="U19" i="17" s="1"/>
  <c r="BJ16" i="11"/>
  <c r="BM17" i="11"/>
  <c r="AQ10" i="21"/>
  <c r="BG12" i="11"/>
  <c r="BW10" i="20"/>
  <c r="BW12" i="20"/>
  <c r="BU11" i="17"/>
  <c r="BK17" i="11"/>
  <c r="BJ12" i="11"/>
  <c r="BM12" i="11"/>
  <c r="BF10" i="11"/>
  <c r="BM16" i="11"/>
  <c r="BH11" i="16"/>
  <c r="X12" i="21"/>
  <c r="AP16" i="20"/>
  <c r="BH9" i="16"/>
  <c r="V15" i="11"/>
  <c r="BJ17" i="11"/>
  <c r="BH15" i="11"/>
  <c r="BH15" i="16"/>
  <c r="Q17" i="20"/>
  <c r="Q18" i="20" s="1"/>
  <c r="V11" i="16"/>
  <c r="BF17" i="11"/>
  <c r="BF16" i="11"/>
  <c r="S17" i="16"/>
  <c r="BL12" i="11"/>
  <c r="V12" i="21"/>
  <c r="V17" i="16"/>
  <c r="BK15" i="11"/>
  <c r="S9" i="17"/>
  <c r="AZ17" i="11"/>
  <c r="BI10" i="11"/>
  <c r="Q10" i="21"/>
  <c r="V9" i="11"/>
  <c r="BJ11" i="11"/>
  <c r="R10" i="21"/>
  <c r="R13" i="21" s="1"/>
  <c r="R19" i="21" s="1"/>
  <c r="BI17" i="11"/>
  <c r="BG9" i="11"/>
  <c r="BL11" i="11"/>
  <c r="BH17" i="11"/>
  <c r="BM15" i="11"/>
  <c r="T17" i="16"/>
  <c r="T15" i="16"/>
  <c r="BU15" i="17"/>
  <c r="BW9" i="20"/>
  <c r="BW17" i="20"/>
  <c r="BV16" i="16"/>
  <c r="BW16" i="20"/>
  <c r="BV15" i="16"/>
  <c r="BW15" i="20"/>
  <c r="BU9" i="17"/>
  <c r="BV10" i="16"/>
  <c r="BU17" i="17"/>
  <c r="S11" i="17"/>
  <c r="BU12" i="17"/>
  <c r="AZ16" i="11"/>
  <c r="AZ11" i="11"/>
  <c r="X17" i="17"/>
  <c r="S15" i="16"/>
  <c r="P15" i="17"/>
  <c r="BF12" i="11"/>
  <c r="BL15" i="11"/>
  <c r="BL10" i="11"/>
  <c r="BJ10" i="11"/>
  <c r="BK16" i="11"/>
  <c r="BH11" i="11"/>
  <c r="BG16" i="11"/>
  <c r="S17" i="17"/>
  <c r="BM9" i="11"/>
  <c r="BH12" i="16"/>
  <c r="BK10" i="11"/>
  <c r="S15" i="17"/>
  <c r="S16" i="17"/>
  <c r="L12" i="2"/>
  <c r="L17" i="2"/>
  <c r="X15" i="16"/>
  <c r="X18" i="16" s="1"/>
  <c r="V10" i="16"/>
  <c r="L9" i="2"/>
  <c r="X10" i="21"/>
  <c r="L15" i="2"/>
  <c r="L10" i="2"/>
  <c r="BL16" i="11"/>
  <c r="AQ12" i="21"/>
  <c r="BF15" i="11"/>
  <c r="Q15" i="17"/>
  <c r="S10" i="17"/>
  <c r="BI9" i="11"/>
  <c r="Q17" i="17"/>
  <c r="T16" i="11"/>
  <c r="AA17" i="16"/>
  <c r="BV9" i="16"/>
  <c r="V12" i="16"/>
  <c r="U10" i="17"/>
  <c r="BV11" i="16"/>
  <c r="BV12" i="16"/>
  <c r="BV17" i="16"/>
  <c r="AZ15" i="11"/>
  <c r="AZ18" i="11" s="1"/>
  <c r="AZ9" i="11"/>
  <c r="R17" i="20"/>
  <c r="R18" i="20" s="1"/>
  <c r="AP15" i="20"/>
  <c r="BJ15" i="11"/>
  <c r="BH9" i="11"/>
  <c r="AP10" i="21"/>
  <c r="BK11" i="11"/>
  <c r="X11" i="17"/>
  <c r="BK9" i="11"/>
  <c r="BK12" i="11"/>
  <c r="P17" i="17"/>
  <c r="BG10" i="11"/>
  <c r="BL9" i="11"/>
  <c r="Q9" i="11" s="1"/>
  <c r="BF11" i="11"/>
  <c r="S12" i="14"/>
  <c r="V12" i="14" s="1"/>
  <c r="S16" i="14"/>
  <c r="V16" i="14" s="1"/>
  <c r="R11" i="14"/>
  <c r="R17" i="14"/>
  <c r="AM15" i="11"/>
  <c r="T12" i="11"/>
  <c r="T11" i="11"/>
  <c r="S11" i="14"/>
  <c r="V11" i="14" s="1"/>
  <c r="T17" i="11"/>
  <c r="X16" i="17"/>
  <c r="X10" i="17"/>
  <c r="X9" i="17"/>
  <c r="X13" i="20"/>
  <c r="T17" i="20"/>
  <c r="X17" i="20"/>
  <c r="U10" i="21"/>
  <c r="AA12" i="21"/>
  <c r="X16" i="20"/>
  <c r="L11" i="2"/>
  <c r="X9" i="16"/>
  <c r="X19" i="16" s="1"/>
  <c r="V15" i="20"/>
  <c r="V18" i="20" s="1"/>
  <c r="S10" i="14"/>
  <c r="V10" i="14" s="1"/>
  <c r="S17" i="14"/>
  <c r="V17" i="14" s="1"/>
  <c r="R10" i="14"/>
  <c r="R12" i="14"/>
  <c r="R16" i="14"/>
  <c r="S9" i="14"/>
  <c r="V9" i="14" s="1"/>
  <c r="S15" i="14"/>
  <c r="V15" i="14" s="1"/>
  <c r="T15" i="11"/>
  <c r="AA16" i="16"/>
  <c r="AA10" i="16"/>
  <c r="X12" i="17"/>
  <c r="AA15" i="16"/>
  <c r="X15" i="17"/>
  <c r="AA9" i="16"/>
  <c r="AA11" i="16"/>
  <c r="V15" i="16"/>
  <c r="X12" i="16"/>
  <c r="AQ13" i="21"/>
  <c r="J18" i="17"/>
  <c r="E13" i="17"/>
  <c r="BE12" i="13"/>
  <c r="H13" i="12"/>
  <c r="BF16" i="8"/>
  <c r="BF12" i="8"/>
  <c r="BD15" i="8"/>
  <c r="AP13" i="17"/>
  <c r="L19" i="8"/>
  <c r="AR18" i="11"/>
  <c r="Z13" i="17"/>
  <c r="AL12" i="11"/>
  <c r="E12" i="6"/>
  <c r="F10" i="2"/>
  <c r="AP13" i="20"/>
  <c r="N19" i="19"/>
  <c r="P19" i="19"/>
  <c r="R19" i="19"/>
  <c r="T19" i="19"/>
  <c r="V19" i="19"/>
  <c r="Z19" i="19"/>
  <c r="AB19" i="19"/>
  <c r="AD19" i="19"/>
  <c r="AL19" i="19"/>
  <c r="AR19" i="19"/>
  <c r="I19" i="19"/>
  <c r="CK19" i="19"/>
  <c r="P18" i="17"/>
  <c r="P19" i="17" s="1"/>
  <c r="AB19" i="13"/>
  <c r="BB13" i="13"/>
  <c r="BC18" i="13"/>
  <c r="AB19" i="8"/>
  <c r="AR13" i="21"/>
  <c r="AN12" i="11"/>
  <c r="G11" i="3"/>
  <c r="D10" i="6"/>
  <c r="BE17" i="8"/>
  <c r="BD17" i="8"/>
  <c r="BG12" i="8"/>
  <c r="K12" i="7" s="1"/>
  <c r="AY18" i="8"/>
  <c r="BE15" i="8"/>
  <c r="O19" i="8"/>
  <c r="AO12" i="17"/>
  <c r="AL15" i="11"/>
  <c r="AP10" i="11"/>
  <c r="BM18" i="16"/>
  <c r="AS19" i="8"/>
  <c r="H18" i="16"/>
  <c r="F11" i="16"/>
  <c r="AC11" i="11"/>
  <c r="N9" i="11"/>
  <c r="G17" i="3"/>
  <c r="G15" i="3"/>
  <c r="I12" i="3"/>
  <c r="I10" i="3"/>
  <c r="AO17" i="11"/>
  <c r="AO16" i="17"/>
  <c r="I18" i="2"/>
  <c r="AM16" i="11"/>
  <c r="H17" i="2"/>
  <c r="T10" i="21"/>
  <c r="V10" i="21" s="1"/>
  <c r="BB19" i="19"/>
  <c r="EL19" i="19"/>
  <c r="U19" i="19"/>
  <c r="AQ19" i="19"/>
  <c r="ER19" i="19"/>
  <c r="AQ19" i="13"/>
  <c r="AO19" i="13"/>
  <c r="AM19" i="13"/>
  <c r="AE19" i="13"/>
  <c r="BE17" i="13"/>
  <c r="I19" i="8"/>
  <c r="BE9" i="8"/>
  <c r="I9" i="7" s="1"/>
  <c r="BG15" i="8"/>
  <c r="B17" i="6"/>
  <c r="R19" i="8"/>
  <c r="CI19" i="8"/>
  <c r="Y19" i="8"/>
  <c r="AE19" i="8"/>
  <c r="E18" i="7"/>
  <c r="G18" i="12"/>
  <c r="B18" i="3"/>
  <c r="B18" i="2"/>
  <c r="Y17" i="11"/>
  <c r="BJ13" i="16"/>
  <c r="AP13" i="21"/>
  <c r="AR13" i="11"/>
  <c r="G18" i="7"/>
  <c r="AE13" i="17"/>
  <c r="BN18" i="16"/>
  <c r="BN19" i="16" s="1"/>
  <c r="H13" i="21"/>
  <c r="H19" i="21" s="1"/>
  <c r="AO13" i="21"/>
  <c r="AQ10" i="11"/>
  <c r="I17" i="3"/>
  <c r="E17" i="3"/>
  <c r="E15" i="3"/>
  <c r="AN11" i="11"/>
  <c r="G16" i="3"/>
  <c r="I9" i="10"/>
  <c r="K9" i="10" s="1"/>
  <c r="E9" i="6"/>
  <c r="H15" i="7"/>
  <c r="I15" i="7"/>
  <c r="BF18" i="19"/>
  <c r="BC19" i="19"/>
  <c r="AR13" i="20"/>
  <c r="AS13" i="21"/>
  <c r="AO18" i="20"/>
  <c r="AT18" i="20"/>
  <c r="Y19" i="19"/>
  <c r="AG19" i="19"/>
  <c r="AO19" i="19"/>
  <c r="F17" i="17"/>
  <c r="AQ17" i="17" s="1"/>
  <c r="BA18" i="13"/>
  <c r="BD17" i="13"/>
  <c r="AD19" i="13"/>
  <c r="AK19" i="13"/>
  <c r="AC19" i="13"/>
  <c r="AA19" i="13"/>
  <c r="U19" i="13"/>
  <c r="S19" i="13"/>
  <c r="Q19" i="13"/>
  <c r="AW18" i="21"/>
  <c r="AV18" i="21"/>
  <c r="Q19" i="8"/>
  <c r="S18" i="16"/>
  <c r="D12" i="6"/>
  <c r="BG17" i="8"/>
  <c r="K17" i="7" s="1"/>
  <c r="H12" i="2"/>
  <c r="F15" i="16"/>
  <c r="BL15" i="16" s="1"/>
  <c r="F17" i="16"/>
  <c r="BL17" i="16" s="1"/>
  <c r="J15" i="2"/>
  <c r="J16" i="10"/>
  <c r="L16" i="10" s="1"/>
  <c r="D11" i="12"/>
  <c r="D9" i="12"/>
  <c r="E12" i="12"/>
  <c r="BF11" i="8"/>
  <c r="J11" i="7" s="1"/>
  <c r="C10" i="14"/>
  <c r="K10" i="14" s="1"/>
  <c r="BD11" i="8"/>
  <c r="BE11" i="8"/>
  <c r="BD12" i="8"/>
  <c r="H12" i="7" s="1"/>
  <c r="BE12" i="8"/>
  <c r="AM12" i="11"/>
  <c r="E18" i="2"/>
  <c r="L16" i="14"/>
  <c r="AP9" i="11"/>
  <c r="R18" i="11"/>
  <c r="D12" i="12"/>
  <c r="AP11" i="11"/>
  <c r="E10" i="3"/>
  <c r="AN16" i="11"/>
  <c r="BI16" i="16"/>
  <c r="AN9" i="11"/>
  <c r="AB19" i="21"/>
  <c r="BD18" i="19"/>
  <c r="CJ19" i="19"/>
  <c r="AF13" i="21"/>
  <c r="AF19" i="21" s="1"/>
  <c r="AN19" i="13"/>
  <c r="X19" i="13"/>
  <c r="V19" i="13"/>
  <c r="BF18" i="13"/>
  <c r="BF15" i="13"/>
  <c r="BA13" i="13"/>
  <c r="AZ13" i="13"/>
  <c r="BG9" i="13"/>
  <c r="BG11" i="13"/>
  <c r="BC13" i="13"/>
  <c r="BD12" i="13"/>
  <c r="AY13" i="8"/>
  <c r="B15" i="6"/>
  <c r="AO17" i="17"/>
  <c r="D17" i="6"/>
  <c r="J17" i="12" s="1"/>
  <c r="AL19" i="8"/>
  <c r="AJ19" i="8"/>
  <c r="Z19" i="8"/>
  <c r="T19" i="8"/>
  <c r="AA19" i="8"/>
  <c r="W19" i="8"/>
  <c r="U19" i="8"/>
  <c r="BE10" i="8"/>
  <c r="C11" i="6"/>
  <c r="I11" i="12" s="1"/>
  <c r="J12" i="2"/>
  <c r="F12" i="11"/>
  <c r="AQ12" i="11" s="1"/>
  <c r="AK19" i="8"/>
  <c r="AC19" i="17"/>
  <c r="F16" i="17"/>
  <c r="F15" i="17"/>
  <c r="AQ15" i="17" s="1"/>
  <c r="AV13" i="17"/>
  <c r="AV18" i="17"/>
  <c r="AT18" i="17"/>
  <c r="W18" i="16"/>
  <c r="C15" i="14"/>
  <c r="K15" i="14" s="1"/>
  <c r="F9" i="12"/>
  <c r="E9" i="12"/>
  <c r="BJ18" i="11"/>
  <c r="Y11" i="11"/>
  <c r="F11" i="11"/>
  <c r="AQ11" i="11" s="1"/>
  <c r="Y12" i="11"/>
  <c r="AP15" i="11"/>
  <c r="AC17" i="11"/>
  <c r="AC10" i="11"/>
  <c r="D16" i="6"/>
  <c r="J12" i="7"/>
  <c r="G12" i="3"/>
  <c r="G10" i="3"/>
  <c r="I16" i="3"/>
  <c r="E12" i="3"/>
  <c r="F16" i="10"/>
  <c r="J17" i="10"/>
  <c r="L17" i="10" s="1"/>
  <c r="AO11" i="11"/>
  <c r="F12" i="2"/>
  <c r="AO12" i="11"/>
  <c r="B11" i="6"/>
  <c r="L11" i="14"/>
  <c r="D9" i="6"/>
  <c r="J9" i="12" s="1"/>
  <c r="G13" i="2"/>
  <c r="J9" i="7"/>
  <c r="L9" i="14"/>
  <c r="G18" i="2"/>
  <c r="H9" i="7"/>
  <c r="C12" i="6"/>
  <c r="AO16" i="11"/>
  <c r="H9" i="2"/>
  <c r="B10" i="6"/>
  <c r="G13" i="21"/>
  <c r="AU20" i="20"/>
  <c r="AQ20" i="21"/>
  <c r="AD20" i="20"/>
  <c r="AK20" i="20"/>
  <c r="U12" i="11"/>
  <c r="AI20" i="20"/>
  <c r="E20" i="20"/>
  <c r="S20" i="20"/>
  <c r="AL20" i="20"/>
  <c r="F20" i="20"/>
  <c r="O20" i="20"/>
  <c r="AQ20" i="20"/>
  <c r="AG20" i="20"/>
  <c r="O10" i="11"/>
  <c r="AP20" i="20"/>
  <c r="O16" i="11"/>
  <c r="H20" i="20"/>
  <c r="AV20" i="20"/>
  <c r="AE20" i="20"/>
  <c r="AB20" i="20"/>
  <c r="Y20" i="20"/>
  <c r="I20" i="20"/>
  <c r="W20" i="21"/>
  <c r="AZ20" i="20"/>
  <c r="J20" i="20"/>
  <c r="R20" i="20"/>
  <c r="U10" i="11"/>
  <c r="U16" i="11"/>
  <c r="AM20" i="20"/>
  <c r="G13" i="14"/>
  <c r="X20" i="20"/>
  <c r="P20" i="20"/>
  <c r="L20" i="20"/>
  <c r="AN20" i="20"/>
  <c r="M20" i="20"/>
  <c r="AO20" i="20"/>
  <c r="AA20" i="20"/>
  <c r="T20" i="21"/>
  <c r="N20" i="20"/>
  <c r="G18" i="14"/>
  <c r="AJ20" i="20"/>
  <c r="AF20" i="20"/>
  <c r="W20" i="20"/>
  <c r="AC20" i="20"/>
  <c r="K20" i="20"/>
  <c r="AH20" i="20"/>
  <c r="Q20" i="20"/>
  <c r="Z20" i="20"/>
  <c r="J18" i="2" l="1"/>
  <c r="AZ13" i="11"/>
  <c r="AZ19" i="11"/>
  <c r="F18" i="2"/>
  <c r="S19" i="19"/>
  <c r="AA19" i="19"/>
  <c r="AI19" i="19"/>
  <c r="CL19" i="19"/>
  <c r="AB21" i="21"/>
  <c r="BE18" i="19"/>
  <c r="BE13" i="19"/>
  <c r="M19" i="19"/>
  <c r="AC19" i="19"/>
  <c r="AK19" i="19"/>
  <c r="AS19" i="19"/>
  <c r="AP18" i="20"/>
  <c r="AJ19" i="19"/>
  <c r="AP19" i="19"/>
  <c r="Q19" i="19"/>
  <c r="X19" i="19"/>
  <c r="AF19" i="19"/>
  <c r="AN19" i="19"/>
  <c r="AM19" i="19"/>
  <c r="BI19" i="19"/>
  <c r="AY19" i="19"/>
  <c r="AG13" i="21"/>
  <c r="AT10" i="21"/>
  <c r="BK19" i="19"/>
  <c r="Q18" i="17"/>
  <c r="Q19" i="17" s="1"/>
  <c r="W13" i="17"/>
  <c r="X13" i="17" s="1"/>
  <c r="AL19" i="16"/>
  <c r="AV13" i="16"/>
  <c r="BC19" i="13"/>
  <c r="Z19" i="13"/>
  <c r="BE13" i="13"/>
  <c r="BD13" i="13"/>
  <c r="BF9" i="13"/>
  <c r="AY13" i="13"/>
  <c r="BG13" i="13" s="1"/>
  <c r="AI19" i="13"/>
  <c r="L19" i="13"/>
  <c r="Y19" i="13"/>
  <c r="N19" i="13"/>
  <c r="BD10" i="13"/>
  <c r="I15" i="3"/>
  <c r="H18" i="3"/>
  <c r="I18" i="3" s="1"/>
  <c r="D13" i="5"/>
  <c r="AG13" i="11"/>
  <c r="G12" i="12"/>
  <c r="C19" i="3"/>
  <c r="AG19" i="8"/>
  <c r="J17" i="7"/>
  <c r="BA13" i="8"/>
  <c r="BG9" i="8"/>
  <c r="K9" i="7" s="1"/>
  <c r="S19" i="16"/>
  <c r="AO10" i="17"/>
  <c r="AM9" i="11"/>
  <c r="B12" i="6"/>
  <c r="J12" i="12"/>
  <c r="E13" i="2"/>
  <c r="F13" i="2" s="1"/>
  <c r="I12" i="7"/>
  <c r="I13" i="2"/>
  <c r="AM13" i="11" s="1"/>
  <c r="L12" i="14"/>
  <c r="AO9" i="11"/>
  <c r="AL11" i="11"/>
  <c r="H11" i="7"/>
  <c r="F9" i="2"/>
  <c r="AL9" i="11"/>
  <c r="BK13" i="11"/>
  <c r="AO9" i="17"/>
  <c r="AI19" i="8"/>
  <c r="E16" i="6"/>
  <c r="AN10" i="11"/>
  <c r="E15" i="6"/>
  <c r="K15" i="12" s="1"/>
  <c r="X19" i="8"/>
  <c r="F11" i="10"/>
  <c r="J11" i="10"/>
  <c r="L11" i="10" s="1"/>
  <c r="I12" i="12"/>
  <c r="E11" i="12"/>
  <c r="BG16" i="8"/>
  <c r="BD16" i="8"/>
  <c r="H16" i="7" s="1"/>
  <c r="H11" i="2"/>
  <c r="AL10" i="11"/>
  <c r="AO10" i="11"/>
  <c r="C9" i="6"/>
  <c r="I9" i="12" s="1"/>
  <c r="J9" i="2"/>
  <c r="R18" i="12"/>
  <c r="AH19" i="8"/>
  <c r="AM19" i="8"/>
  <c r="K18" i="11"/>
  <c r="F17" i="2"/>
  <c r="J15" i="10"/>
  <c r="L15" i="10" s="1"/>
  <c r="J12" i="10"/>
  <c r="L12" i="10" s="1"/>
  <c r="Y10" i="11"/>
  <c r="J13" i="11"/>
  <c r="C13" i="5"/>
  <c r="F11" i="12"/>
  <c r="E11" i="6"/>
  <c r="AM11" i="11"/>
  <c r="E17" i="6"/>
  <c r="K17" i="12" s="1"/>
  <c r="B16" i="6"/>
  <c r="C17" i="6"/>
  <c r="I17" i="12" s="1"/>
  <c r="AO15" i="17"/>
  <c r="H18" i="12"/>
  <c r="H21" i="12" s="1"/>
  <c r="N13" i="17"/>
  <c r="AT19" i="8"/>
  <c r="F11" i="17"/>
  <c r="AQ11" i="17" s="1"/>
  <c r="K13" i="17"/>
  <c r="J13" i="17"/>
  <c r="K18" i="17"/>
  <c r="AF13" i="17"/>
  <c r="AX21" i="17"/>
  <c r="AQ10" i="17"/>
  <c r="M13" i="21"/>
  <c r="M19" i="21" s="1"/>
  <c r="AM13" i="21"/>
  <c r="AM19" i="21" s="1"/>
  <c r="BC21" i="21"/>
  <c r="AG13" i="17"/>
  <c r="AJ18" i="17"/>
  <c r="AJ13" i="17"/>
  <c r="AK18" i="17"/>
  <c r="AK13" i="17"/>
  <c r="AL13" i="17"/>
  <c r="AM13" i="17"/>
  <c r="AT19" i="17"/>
  <c r="G13" i="16"/>
  <c r="EM19" i="8"/>
  <c r="E13" i="21"/>
  <c r="N13" i="21"/>
  <c r="O13" i="21"/>
  <c r="AL13" i="21"/>
  <c r="AL21" i="21" s="1"/>
  <c r="AN13" i="21"/>
  <c r="AN19" i="21" s="1"/>
  <c r="AY13" i="21"/>
  <c r="BA21" i="21"/>
  <c r="BL11" i="16"/>
  <c r="C17" i="14"/>
  <c r="K17" i="14" s="1"/>
  <c r="G9" i="12"/>
  <c r="AE13" i="11"/>
  <c r="AS13" i="11"/>
  <c r="AS18" i="11"/>
  <c r="E13" i="11"/>
  <c r="AH13" i="11"/>
  <c r="AH18" i="11"/>
  <c r="F15" i="11"/>
  <c r="AQ15" i="11" s="1"/>
  <c r="F17" i="11"/>
  <c r="AQ17" i="11" s="1"/>
  <c r="F9" i="11"/>
  <c r="AP12" i="11"/>
  <c r="AI18" i="11"/>
  <c r="AI13" i="11"/>
  <c r="F12" i="12"/>
  <c r="F16" i="11"/>
  <c r="AU13" i="11"/>
  <c r="AP17" i="11"/>
  <c r="AT13" i="11"/>
  <c r="AV13" i="11"/>
  <c r="AV18" i="11"/>
  <c r="AX21" i="11"/>
  <c r="R13" i="11"/>
  <c r="Z13" i="11"/>
  <c r="AA13" i="11"/>
  <c r="AC12" i="11"/>
  <c r="AB18" i="11"/>
  <c r="AD13" i="11"/>
  <c r="AF18" i="11"/>
  <c r="AF13" i="11"/>
  <c r="Q15" i="11"/>
  <c r="I13" i="11"/>
  <c r="I18" i="11"/>
  <c r="J18" i="11"/>
  <c r="N12" i="11"/>
  <c r="Q12" i="11" s="1"/>
  <c r="L18" i="11"/>
  <c r="AC15" i="11"/>
  <c r="S13" i="11"/>
  <c r="T13" i="11" s="1"/>
  <c r="AY18" i="11"/>
  <c r="C18" i="5"/>
  <c r="B13" i="5"/>
  <c r="J15" i="7"/>
  <c r="E16" i="3"/>
  <c r="BI17" i="16"/>
  <c r="AN15" i="11"/>
  <c r="J9" i="10"/>
  <c r="L9" i="10" s="1"/>
  <c r="J10" i="10"/>
  <c r="L10" i="10" s="1"/>
  <c r="L10" i="14"/>
  <c r="J10" i="2"/>
  <c r="K15" i="7"/>
  <c r="K10" i="7"/>
  <c r="F15" i="2"/>
  <c r="I11" i="7"/>
  <c r="L17" i="14"/>
  <c r="H15" i="2"/>
  <c r="AN17" i="11"/>
  <c r="H17" i="7"/>
  <c r="C18" i="2"/>
  <c r="D18" i="2" s="1"/>
  <c r="AL17" i="11"/>
  <c r="E10" i="6"/>
  <c r="K10" i="12" s="1"/>
  <c r="I10" i="7"/>
  <c r="AO15" i="11"/>
  <c r="BI15" i="16"/>
  <c r="C10" i="6"/>
  <c r="I10" i="12" s="1"/>
  <c r="D15" i="6"/>
  <c r="J15" i="12" s="1"/>
  <c r="I17" i="7"/>
  <c r="K16" i="7"/>
  <c r="L15" i="14"/>
  <c r="C15" i="6"/>
  <c r="I15" i="12" s="1"/>
  <c r="H21" i="21"/>
  <c r="AY13" i="11"/>
  <c r="U13" i="16"/>
  <c r="V19" i="20"/>
  <c r="O18" i="16"/>
  <c r="AQ18" i="20"/>
  <c r="AU18" i="20"/>
  <c r="AU19" i="20" s="1"/>
  <c r="Z18" i="16"/>
  <c r="F16" i="16"/>
  <c r="BL16" i="16" s="1"/>
  <c r="AS13" i="16"/>
  <c r="BD18" i="16"/>
  <c r="BE13" i="16"/>
  <c r="BF13" i="16"/>
  <c r="BK13" i="16"/>
  <c r="BK19" i="16" s="1"/>
  <c r="I13" i="16"/>
  <c r="AF13" i="16"/>
  <c r="X16" i="16"/>
  <c r="H19" i="16"/>
  <c r="AJ19" i="16"/>
  <c r="AB13" i="16"/>
  <c r="BD13" i="16"/>
  <c r="K19" i="13"/>
  <c r="D13" i="14"/>
  <c r="G13" i="11"/>
  <c r="D13" i="12" s="1"/>
  <c r="D21" i="12" s="1"/>
  <c r="C13" i="2"/>
  <c r="G13" i="17"/>
  <c r="BH13" i="16"/>
  <c r="E13" i="7"/>
  <c r="AA13" i="17"/>
  <c r="BG13" i="16"/>
  <c r="G13" i="7"/>
  <c r="K13" i="2"/>
  <c r="K19" i="2" s="1"/>
  <c r="T13" i="17"/>
  <c r="BH18" i="16"/>
  <c r="BG18" i="16"/>
  <c r="F18" i="12"/>
  <c r="AP18" i="21"/>
  <c r="D18" i="14"/>
  <c r="G18" i="11"/>
  <c r="B19" i="7"/>
  <c r="B13" i="6"/>
  <c r="H13" i="2"/>
  <c r="AL13" i="11"/>
  <c r="AO13" i="17"/>
  <c r="W13" i="11"/>
  <c r="F13" i="12" s="1"/>
  <c r="C18" i="6"/>
  <c r="D18" i="3"/>
  <c r="E18" i="3" s="1"/>
  <c r="AL18" i="11"/>
  <c r="B18" i="6"/>
  <c r="U12" i="17"/>
  <c r="W13" i="16"/>
  <c r="M19" i="8"/>
  <c r="F19" i="7" s="1"/>
  <c r="F18" i="7"/>
  <c r="AX19" i="21"/>
  <c r="G19" i="21"/>
  <c r="G21" i="21"/>
  <c r="G20" i="21"/>
  <c r="BD21" i="21"/>
  <c r="AT18" i="21"/>
  <c r="AG19" i="21"/>
  <c r="AA18" i="21"/>
  <c r="BD19" i="21"/>
  <c r="AZ21" i="21"/>
  <c r="AC18" i="20"/>
  <c r="AC21" i="20" s="1"/>
  <c r="AX18" i="20"/>
  <c r="J18" i="20"/>
  <c r="J19" i="20" s="1"/>
  <c r="O18" i="20"/>
  <c r="O19" i="20" s="1"/>
  <c r="AK18" i="20"/>
  <c r="AK19" i="20" s="1"/>
  <c r="BB21" i="20"/>
  <c r="AN18" i="20"/>
  <c r="AN19" i="20" s="1"/>
  <c r="AE18" i="20"/>
  <c r="AE21" i="20" s="1"/>
  <c r="AV18" i="20"/>
  <c r="AV19" i="20" s="1"/>
  <c r="AF18" i="20"/>
  <c r="AF19" i="20" s="1"/>
  <c r="AB18" i="20"/>
  <c r="AB19" i="20" s="1"/>
  <c r="AJ18" i="20"/>
  <c r="AJ19" i="20" s="1"/>
  <c r="P18" i="20"/>
  <c r="P19" i="20" s="1"/>
  <c r="AT19" i="20" s="1"/>
  <c r="H18" i="20"/>
  <c r="H19" i="20" s="1"/>
  <c r="R19" i="20"/>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BU21" i="17"/>
  <c r="J13" i="16"/>
  <c r="F9" i="16"/>
  <c r="BL9" i="16" s="1"/>
  <c r="AC18" i="16"/>
  <c r="BP21" i="16"/>
  <c r="AZ18" i="16"/>
  <c r="J18" i="16"/>
  <c r="BV18" i="16"/>
  <c r="BS18" i="16"/>
  <c r="AD13" i="16"/>
  <c r="AD19" i="16" s="1"/>
  <c r="Q13" i="16"/>
  <c r="X13" i="16"/>
  <c r="AS18" i="16"/>
  <c r="AZ13" i="16"/>
  <c r="AN19" i="16"/>
  <c r="AW19" i="11"/>
  <c r="Q16" i="11"/>
  <c r="P16" i="11"/>
  <c r="AC16" i="11"/>
  <c r="K13" i="11"/>
  <c r="N18" i="11"/>
  <c r="P12" i="11"/>
  <c r="AZ10" i="11"/>
  <c r="AT18" i="11"/>
  <c r="M13" i="11"/>
  <c r="L13" i="11"/>
  <c r="AP16" i="11"/>
  <c r="Z18" i="11"/>
  <c r="AB13" i="11"/>
  <c r="BH18" i="11"/>
  <c r="W18" i="11"/>
  <c r="Y16" i="11"/>
  <c r="X18" i="11"/>
  <c r="AC9" i="11"/>
  <c r="H13" i="11"/>
  <c r="E13" i="12" s="1"/>
  <c r="S18" i="11"/>
  <c r="H18" i="11"/>
  <c r="X13" i="11"/>
  <c r="AA18" i="11"/>
  <c r="M18" i="11"/>
  <c r="C16" i="14"/>
  <c r="K16" i="14" s="1"/>
  <c r="AV19" i="17"/>
  <c r="J16" i="7"/>
  <c r="J16" i="12"/>
  <c r="F18" i="3"/>
  <c r="G18" i="3" s="1"/>
  <c r="H13" i="3"/>
  <c r="AN18" i="11"/>
  <c r="BF18" i="11"/>
  <c r="BK18" i="11"/>
  <c r="BK19" i="11" s="1"/>
  <c r="P15" i="11"/>
  <c r="K12" i="12"/>
  <c r="AJ18" i="11"/>
  <c r="D18" i="5"/>
  <c r="P17" i="11"/>
  <c r="F16" i="2"/>
  <c r="H16" i="2"/>
  <c r="J16" i="2"/>
  <c r="F13" i="3"/>
  <c r="E9" i="3"/>
  <c r="G9" i="3"/>
  <c r="T18" i="16"/>
  <c r="T19" i="16" s="1"/>
  <c r="BL18" i="11"/>
  <c r="W18" i="17"/>
  <c r="X18" i="17" s="1"/>
  <c r="AN21" i="17"/>
  <c r="AU18" i="11"/>
  <c r="CK19" i="8"/>
  <c r="AK19" i="16"/>
  <c r="AM13" i="16"/>
  <c r="AX18" i="16"/>
  <c r="AY18" i="16"/>
  <c r="L18" i="17"/>
  <c r="L19" i="17" s="1"/>
  <c r="BM13" i="16"/>
  <c r="AE13" i="16"/>
  <c r="AE19" i="16" s="1"/>
  <c r="BH19" i="8"/>
  <c r="AF18" i="16"/>
  <c r="AT18" i="16"/>
  <c r="BU18" i="16"/>
  <c r="K13" i="16"/>
  <c r="K19" i="16" s="1"/>
  <c r="P13" i="21"/>
  <c r="P19" i="21" s="1"/>
  <c r="BB13" i="8"/>
  <c r="AB18" i="16"/>
  <c r="AT13" i="16"/>
  <c r="BC13" i="16"/>
  <c r="AW21" i="17"/>
  <c r="P18" i="16"/>
  <c r="M18" i="17"/>
  <c r="M19" i="17" s="1"/>
  <c r="K19" i="8"/>
  <c r="BG11" i="8"/>
  <c r="K11" i="7" s="1"/>
  <c r="BD10" i="8"/>
  <c r="H10" i="7" s="1"/>
  <c r="AF19" i="8"/>
  <c r="AG19" i="16"/>
  <c r="AC13" i="16"/>
  <c r="AE18" i="17"/>
  <c r="H18" i="17"/>
  <c r="H19" i="17" s="1"/>
  <c r="AH13" i="21"/>
  <c r="AH19" i="21" s="1"/>
  <c r="O19" i="21"/>
  <c r="B18" i="5"/>
  <c r="AY19" i="8"/>
  <c r="E13" i="16"/>
  <c r="F12" i="16"/>
  <c r="BL12" i="16" s="1"/>
  <c r="K13" i="21"/>
  <c r="U18" i="16"/>
  <c r="L13" i="16"/>
  <c r="BC13" i="8"/>
  <c r="BF13" i="8" s="1"/>
  <c r="G18" i="17"/>
  <c r="AR18" i="17"/>
  <c r="N13" i="16"/>
  <c r="V13" i="17"/>
  <c r="V19" i="17" s="1"/>
  <c r="AV18" i="16"/>
  <c r="Y19" i="21"/>
  <c r="AW18" i="16"/>
  <c r="AY13" i="16"/>
  <c r="AG18" i="17"/>
  <c r="T13" i="21"/>
  <c r="T19" i="21" s="1"/>
  <c r="AI13" i="21"/>
  <c r="AI19" i="21" s="1"/>
  <c r="AO19" i="21"/>
  <c r="BB21" i="21"/>
  <c r="AK13" i="21"/>
  <c r="AK19" i="21" s="1"/>
  <c r="BF13" i="13"/>
  <c r="BI19" i="13"/>
  <c r="AL19" i="13"/>
  <c r="AZ19" i="13"/>
  <c r="M19" i="13"/>
  <c r="BF17" i="13"/>
  <c r="J19" i="13"/>
  <c r="T19" i="13"/>
  <c r="BF11" i="13"/>
  <c r="I19" i="13"/>
  <c r="BF10" i="13"/>
  <c r="BD18" i="13"/>
  <c r="AF19" i="13"/>
  <c r="P19" i="13"/>
  <c r="AO21" i="20"/>
  <c r="T16" i="20"/>
  <c r="S18" i="20"/>
  <c r="S19" i="20" s="1"/>
  <c r="AW19" i="21"/>
  <c r="W18" i="20"/>
  <c r="X18" i="20" s="1"/>
  <c r="L19" i="19"/>
  <c r="J19" i="19"/>
  <c r="M19" i="20"/>
  <c r="AD18" i="20"/>
  <c r="AD21" i="20" s="1"/>
  <c r="AI18" i="20"/>
  <c r="AI19" i="20" s="1"/>
  <c r="F16" i="20"/>
  <c r="N19" i="21"/>
  <c r="K19" i="19"/>
  <c r="AQ19" i="20" s="1"/>
  <c r="O19" i="19"/>
  <c r="W19" i="19"/>
  <c r="AE19" i="19"/>
  <c r="BH19" i="19"/>
  <c r="BC21" i="20"/>
  <c r="AC13" i="21"/>
  <c r="AC21" i="21" s="1"/>
  <c r="Q13" i="21"/>
  <c r="Q19" i="21" s="1"/>
  <c r="BE21" i="21"/>
  <c r="AS13" i="20"/>
  <c r="I18" i="20"/>
  <c r="I19" i="20" s="1"/>
  <c r="BC19" i="21"/>
  <c r="AZ19" i="19"/>
  <c r="AD13" i="21"/>
  <c r="AD19" i="21" s="1"/>
  <c r="Z13" i="21"/>
  <c r="V13" i="21"/>
  <c r="V19" i="21" s="1"/>
  <c r="AJ13" i="21"/>
  <c r="F13" i="21"/>
  <c r="F19" i="21" s="1"/>
  <c r="Q19" i="20"/>
  <c r="AL19" i="21"/>
  <c r="CI19" i="19"/>
  <c r="AR19" i="20" s="1"/>
  <c r="EN19" i="19"/>
  <c r="AM18" i="20"/>
  <c r="AM21" i="20" s="1"/>
  <c r="EQ19" i="19"/>
  <c r="U18" i="20"/>
  <c r="AT12" i="21"/>
  <c r="AH19" i="19"/>
  <c r="AH18" i="20"/>
  <c r="AH19" i="20" s="1"/>
  <c r="AO21" i="21"/>
  <c r="BG18" i="19"/>
  <c r="I13" i="21"/>
  <c r="I19" i="21" s="1"/>
  <c r="EO19" i="19"/>
  <c r="C11" i="14"/>
  <c r="K11" i="14" s="1"/>
  <c r="M19" i="2"/>
  <c r="S13" i="21"/>
  <c r="S19" i="21" s="1"/>
  <c r="AE18" i="11"/>
  <c r="AE19" i="11" s="1"/>
  <c r="AJ13" i="11"/>
  <c r="F18" i="14"/>
  <c r="AP19" i="16"/>
  <c r="AO19" i="16"/>
  <c r="E18" i="14"/>
  <c r="F13" i="14"/>
  <c r="J19" i="8"/>
  <c r="C9" i="14"/>
  <c r="AQ9" i="11"/>
  <c r="BC18" i="8"/>
  <c r="AZ18" i="8"/>
  <c r="BE18" i="13"/>
  <c r="BB19" i="13"/>
  <c r="AQ16" i="17"/>
  <c r="AG18" i="11"/>
  <c r="AG21" i="11" s="1"/>
  <c r="AK18" i="11"/>
  <c r="E13" i="14"/>
  <c r="U13" i="17"/>
  <c r="BV13" i="16"/>
  <c r="D19" i="12"/>
  <c r="BW21" i="20"/>
  <c r="P9" i="11"/>
  <c r="Q10" i="11"/>
  <c r="D11" i="6"/>
  <c r="J11" i="12" s="1"/>
  <c r="E11" i="3"/>
  <c r="R15" i="14"/>
  <c r="BH16" i="16"/>
  <c r="AM17" i="11"/>
  <c r="BI16" i="11"/>
  <c r="BI18" i="11" s="1"/>
  <c r="BG17" i="11"/>
  <c r="BI11" i="11"/>
  <c r="P19" i="8"/>
  <c r="X19" i="21"/>
  <c r="H18" i="2"/>
  <c r="AO11" i="17"/>
  <c r="T10" i="11"/>
  <c r="AQ18" i="21"/>
  <c r="AM10" i="11"/>
  <c r="BG11" i="11"/>
  <c r="BI12" i="11"/>
  <c r="BJ9" i="11"/>
  <c r="BA19" i="19"/>
  <c r="BD13" i="19"/>
  <c r="BF13" i="19"/>
  <c r="AD19" i="8"/>
  <c r="V19" i="8"/>
  <c r="U16" i="21"/>
  <c r="U18" i="21" s="1"/>
  <c r="V17" i="20"/>
  <c r="V16" i="20"/>
  <c r="U15" i="17"/>
  <c r="U18" i="17" s="1"/>
  <c r="X17" i="16"/>
  <c r="AA10" i="21"/>
  <c r="D13" i="3"/>
  <c r="N19" i="8"/>
  <c r="G19" i="7" s="1"/>
  <c r="AM18" i="11"/>
  <c r="BH12" i="11"/>
  <c r="BH13" i="11" s="1"/>
  <c r="S12" i="17"/>
  <c r="AH19" i="11"/>
  <c r="AO18" i="17"/>
  <c r="AP12" i="21"/>
  <c r="BM11" i="11"/>
  <c r="BM10" i="11"/>
  <c r="BF9" i="11"/>
  <c r="V16" i="16"/>
  <c r="J11" i="2"/>
  <c r="F11" i="2"/>
  <c r="BE16" i="8"/>
  <c r="I16" i="7" s="1"/>
  <c r="BB18" i="8"/>
  <c r="AK13" i="11"/>
  <c r="BA18" i="8"/>
  <c r="I21" i="11"/>
  <c r="AR19" i="13"/>
  <c r="AJ19" i="13"/>
  <c r="N18" i="17"/>
  <c r="I9" i="3"/>
  <c r="AN19" i="8"/>
  <c r="M18" i="16"/>
  <c r="BB19" i="16"/>
  <c r="E18" i="17"/>
  <c r="E19" i="17" s="1"/>
  <c r="AH19" i="13"/>
  <c r="R19" i="13"/>
  <c r="AP19" i="13"/>
  <c r="R9" i="14"/>
  <c r="BG13" i="19"/>
  <c r="BF10" i="8"/>
  <c r="J10" i="7" s="1"/>
  <c r="AZ13" i="8"/>
  <c r="AG19" i="13"/>
  <c r="BF18" i="16"/>
  <c r="AY18" i="13"/>
  <c r="BG17" i="13"/>
  <c r="R13" i="17"/>
  <c r="CL19" i="8"/>
  <c r="G11" i="12"/>
  <c r="CJ19" i="8"/>
  <c r="AP18" i="17"/>
  <c r="F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AF19" i="11"/>
  <c r="I18" i="16"/>
  <c r="BJ18" i="16"/>
  <c r="BU13" i="16"/>
  <c r="AM18" i="17"/>
  <c r="AS18" i="17"/>
  <c r="AS19" i="17" s="1"/>
  <c r="Z18" i="17"/>
  <c r="Z19" i="17" s="1"/>
  <c r="BL10" i="16"/>
  <c r="F9" i="17"/>
  <c r="EM19" i="19"/>
  <c r="AR18" i="20"/>
  <c r="X10" i="16"/>
  <c r="J21" i="17"/>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O13" i="11"/>
  <c r="O19" i="11"/>
  <c r="U17" i="11"/>
  <c r="T20" i="20"/>
  <c r="O17" i="11"/>
  <c r="AV20" i="21"/>
  <c r="AI19" i="11" l="1"/>
  <c r="BE13" i="8"/>
  <c r="K9" i="12"/>
  <c r="AS19" i="21"/>
  <c r="G19" i="16"/>
  <c r="O19" i="16"/>
  <c r="V17" i="11"/>
  <c r="AJ21" i="11"/>
  <c r="Q18" i="11"/>
  <c r="T18" i="11"/>
  <c r="AY21" i="21"/>
  <c r="AU19" i="21"/>
  <c r="AP19" i="20"/>
  <c r="AU21" i="21"/>
  <c r="L19" i="11"/>
  <c r="N19" i="2"/>
  <c r="E19" i="2"/>
  <c r="AO18" i="11"/>
  <c r="K19" i="21"/>
  <c r="BG19" i="19"/>
  <c r="AG21" i="17"/>
  <c r="D19" i="14"/>
  <c r="K19" i="17"/>
  <c r="D19" i="5"/>
  <c r="I19" i="2"/>
  <c r="E18" i="6"/>
  <c r="C19" i="2"/>
  <c r="J21" i="20"/>
  <c r="AK21" i="20"/>
  <c r="F18" i="20"/>
  <c r="F21" i="20" s="1"/>
  <c r="AO19" i="20"/>
  <c r="AN21" i="21"/>
  <c r="BG21" i="16"/>
  <c r="H19" i="11"/>
  <c r="BI18" i="16"/>
  <c r="R19" i="11"/>
  <c r="AP13" i="11"/>
  <c r="F18" i="11"/>
  <c r="Y18" i="11"/>
  <c r="Z19" i="11"/>
  <c r="AA19" i="11"/>
  <c r="W19" i="11"/>
  <c r="AQ16" i="11"/>
  <c r="AI21" i="11"/>
  <c r="Y13" i="11"/>
  <c r="AS16" i="20"/>
  <c r="AX21" i="20"/>
  <c r="AQ19" i="21"/>
  <c r="G21" i="20"/>
  <c r="G19" i="20"/>
  <c r="AN21" i="20"/>
  <c r="AJ21" i="17"/>
  <c r="AU20" i="17"/>
  <c r="BD19" i="16" l="1"/>
  <c r="AX20" i="21"/>
  <c r="BP20" i="16"/>
  <c r="BR20" i="16"/>
  <c r="H20" i="17"/>
  <c r="AW20" i="11"/>
  <c r="BA19" i="13" l="1"/>
  <c r="BF19" i="13" s="1"/>
  <c r="BE18" i="8"/>
  <c r="I18" i="7" s="1"/>
  <c r="AY19" i="21"/>
  <c r="J19" i="11"/>
  <c r="K16" i="12"/>
  <c r="J13" i="2"/>
  <c r="C13" i="6"/>
  <c r="D19" i="2"/>
  <c r="F19" i="14"/>
  <c r="E21" i="12"/>
  <c r="AK19" i="11"/>
  <c r="AG19" i="11"/>
  <c r="G21" i="11"/>
  <c r="AC13" i="11"/>
  <c r="X19" i="11"/>
  <c r="AB19" i="11"/>
  <c r="M19" i="11"/>
  <c r="G20" i="11"/>
  <c r="G19" i="11"/>
  <c r="I19" i="11"/>
  <c r="B19" i="5"/>
  <c r="U19" i="16"/>
  <c r="BF21" i="16"/>
  <c r="AC19" i="20"/>
  <c r="K20" i="11"/>
  <c r="AK20" i="16"/>
  <c r="AY20" i="16"/>
  <c r="W20" i="11"/>
  <c r="I20" i="21"/>
  <c r="U20" i="16"/>
  <c r="J20" i="16"/>
  <c r="V20" i="21"/>
  <c r="Z20" i="11"/>
  <c r="U20" i="21"/>
  <c r="BC20" i="16"/>
  <c r="BF20" i="16"/>
  <c r="AG20" i="11"/>
  <c r="T20" i="11"/>
  <c r="M20" i="17"/>
  <c r="X20" i="16"/>
  <c r="AL20" i="17"/>
  <c r="AN20" i="21"/>
  <c r="AK20" i="11"/>
  <c r="I20" i="11"/>
  <c r="AC20" i="21"/>
  <c r="AS20" i="17"/>
  <c r="D20" i="12"/>
  <c r="AQ20" i="16"/>
  <c r="S20" i="21"/>
  <c r="AF20" i="11"/>
  <c r="R20" i="17"/>
  <c r="AT20" i="16"/>
  <c r="AT20" i="11"/>
  <c r="AG20" i="21"/>
  <c r="BG20" i="16"/>
  <c r="S20" i="16"/>
  <c r="AX20" i="16"/>
  <c r="P20" i="17"/>
  <c r="W20" i="16"/>
  <c r="AT20" i="20"/>
  <c r="AY20" i="11"/>
  <c r="W20" i="17"/>
  <c r="AA20" i="17"/>
  <c r="AM20" i="21"/>
  <c r="AC20" i="16"/>
  <c r="Q20" i="21"/>
  <c r="AV20" i="16"/>
  <c r="AA20" i="21"/>
  <c r="AK20" i="21"/>
  <c r="AJ20" i="11"/>
  <c r="AN20" i="11"/>
  <c r="Y20" i="21"/>
  <c r="Y20" i="11"/>
  <c r="Y20" i="16"/>
  <c r="AH20" i="17"/>
  <c r="AO20" i="21"/>
  <c r="X20" i="11"/>
  <c r="N20" i="21"/>
  <c r="F20" i="11"/>
  <c r="AE20" i="11"/>
  <c r="R20" i="11"/>
  <c r="AM20" i="16"/>
  <c r="AH20" i="21"/>
  <c r="AP20" i="16"/>
  <c r="AE20" i="16"/>
  <c r="Z20" i="16"/>
  <c r="P20" i="16"/>
  <c r="AS20" i="16"/>
  <c r="BS20" i="16"/>
  <c r="Y20" i="17"/>
  <c r="AM20" i="11"/>
  <c r="K20" i="12"/>
  <c r="BQ20" i="16"/>
  <c r="E20" i="12"/>
  <c r="T20" i="17"/>
  <c r="AB20" i="17"/>
  <c r="AF20" i="16"/>
  <c r="AN20" i="17"/>
  <c r="F20" i="17"/>
  <c r="BH20" i="16"/>
  <c r="AG20" i="16"/>
  <c r="AR20" i="21"/>
  <c r="V20" i="20"/>
  <c r="AS20" i="21"/>
  <c r="AF20" i="21"/>
  <c r="BN20" i="16"/>
  <c r="R20" i="16"/>
  <c r="AH20" i="16"/>
  <c r="AD20" i="17"/>
  <c r="AW20" i="17"/>
  <c r="AI20" i="17"/>
  <c r="O20" i="17"/>
  <c r="R20" i="21"/>
  <c r="V20" i="11"/>
  <c r="AB20" i="11"/>
  <c r="BE20" i="21"/>
  <c r="J20" i="21"/>
  <c r="U20" i="17"/>
  <c r="Z20" i="21"/>
  <c r="H20" i="11"/>
  <c r="AI20" i="11"/>
  <c r="T20" i="16"/>
  <c r="Q20" i="17"/>
  <c r="V20" i="17"/>
  <c r="AF20" i="17"/>
  <c r="AO20" i="17"/>
  <c r="I20" i="16"/>
  <c r="AU20" i="16"/>
  <c r="AO20" i="11"/>
  <c r="X20" i="17"/>
  <c r="AW20" i="21"/>
  <c r="L20" i="16"/>
  <c r="AK20" i="17"/>
  <c r="AL20" i="11"/>
  <c r="Q20" i="16"/>
  <c r="G20" i="12"/>
  <c r="I20" i="12"/>
  <c r="F20" i="12"/>
  <c r="AC20" i="17"/>
  <c r="AY20" i="21"/>
  <c r="AZ20" i="11"/>
  <c r="E20" i="21"/>
  <c r="BI20" i="16"/>
  <c r="BC20" i="21"/>
  <c r="AP20" i="21"/>
  <c r="BD20" i="21"/>
  <c r="AD20" i="11"/>
  <c r="AD20" i="21"/>
  <c r="AZ20" i="16"/>
  <c r="BD20" i="16"/>
  <c r="V20" i="16"/>
  <c r="AP20" i="17"/>
  <c r="AE20" i="21"/>
  <c r="AU20" i="21"/>
  <c r="O20" i="21"/>
  <c r="BM20" i="16"/>
  <c r="H20" i="21"/>
  <c r="X20" i="21"/>
  <c r="K20" i="16"/>
  <c r="AE20" i="17"/>
  <c r="J20" i="11"/>
  <c r="AT20" i="17"/>
  <c r="J20" i="17"/>
  <c r="N20" i="11"/>
  <c r="AJ20" i="17"/>
  <c r="S20" i="11"/>
  <c r="AR20" i="20"/>
  <c r="AD20" i="16"/>
  <c r="M20" i="21"/>
  <c r="BK20" i="16"/>
  <c r="F20" i="21"/>
  <c r="AR20" i="11"/>
  <c r="E20" i="16"/>
  <c r="AN20" i="16"/>
  <c r="P20" i="21"/>
  <c r="O20" i="11"/>
  <c r="AJ20" i="16"/>
  <c r="AS20" i="11"/>
  <c r="AB20" i="21"/>
  <c r="L20" i="17"/>
  <c r="F20" i="16"/>
  <c r="S20" i="17"/>
  <c r="AV20" i="11"/>
  <c r="E20" i="17"/>
  <c r="K20" i="17"/>
  <c r="BE20" i="16"/>
  <c r="P20" i="11"/>
  <c r="M20" i="11"/>
  <c r="AB20" i="16"/>
  <c r="J20" i="12"/>
  <c r="BJ20" i="16"/>
  <c r="U20" i="11"/>
  <c r="AL20" i="16"/>
  <c r="AC20" i="11"/>
  <c r="AO20" i="16"/>
  <c r="L20" i="11"/>
  <c r="E20" i="11"/>
  <c r="AJ20" i="21"/>
  <c r="AV20" i="17"/>
  <c r="H20" i="16"/>
  <c r="Q20" i="11"/>
  <c r="AG20" i="17"/>
  <c r="AI20" i="21"/>
  <c r="BB20" i="16"/>
  <c r="AM20" i="17"/>
  <c r="U20" i="20"/>
  <c r="H20" i="12"/>
  <c r="AL20" i="21"/>
  <c r="AA20" i="11"/>
  <c r="I20" i="17"/>
  <c r="N20" i="17"/>
  <c r="AR20" i="17"/>
  <c r="AR20" i="16"/>
  <c r="N20" i="16"/>
  <c r="AA20" i="16"/>
  <c r="AW20" i="16"/>
  <c r="BO20" i="16"/>
  <c r="K20" i="21"/>
  <c r="AU20" i="11"/>
  <c r="L20" i="21"/>
  <c r="O20" i="16"/>
  <c r="AH20" i="11"/>
  <c r="AI20" i="16"/>
  <c r="M20" i="16"/>
  <c r="BD19" i="13" l="1"/>
  <c r="BE19" i="13"/>
  <c r="AA18" i="16"/>
  <c r="Q19" i="16"/>
  <c r="AM19" i="16"/>
  <c r="AW19" i="16"/>
  <c r="D13" i="2"/>
  <c r="E13" i="6"/>
  <c r="AO13" i="11"/>
  <c r="AO21" i="11" s="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H21" i="11"/>
  <c r="AT20" i="21"/>
  <c r="BL20" i="16"/>
  <c r="AQ20" i="11"/>
  <c r="AQ20" i="17"/>
  <c r="AP20" i="11"/>
  <c r="AY19" i="11"/>
  <c r="AL21" i="11"/>
  <c r="G19" i="2"/>
  <c r="Y19" i="16"/>
  <c r="I18" i="12"/>
  <c r="BE21" i="16"/>
  <c r="I21" i="21"/>
  <c r="AP19" i="21"/>
  <c r="D19" i="7"/>
  <c r="AO19" i="17"/>
  <c r="F19" i="12"/>
  <c r="BH19" i="16"/>
  <c r="P19" i="16"/>
  <c r="AG19" i="17"/>
  <c r="AP21" i="21"/>
  <c r="S13" i="17"/>
  <c r="AV19" i="16"/>
  <c r="AQ21" i="21"/>
  <c r="AJ19" i="17"/>
  <c r="B19" i="2"/>
  <c r="F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F21"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8" i="8"/>
  <c r="H18" i="7" s="1"/>
  <c r="V18" i="16"/>
  <c r="Q11" i="11"/>
  <c r="P11" i="11"/>
  <c r="BM18" i="11"/>
  <c r="BH21" i="16"/>
  <c r="AS18" i="20"/>
  <c r="AJ19" i="11"/>
  <c r="AX19" i="20"/>
  <c r="BJ13" i="11"/>
  <c r="BJ19" i="11" s="1"/>
  <c r="AS21" i="16"/>
  <c r="AS19" i="16"/>
  <c r="BD19" i="19"/>
  <c r="BF19" i="19"/>
  <c r="K19" i="11"/>
  <c r="V13" i="16"/>
  <c r="V19" i="16" s="1"/>
  <c r="BU21" i="16"/>
  <c r="BU19" i="16"/>
  <c r="F13" i="17"/>
  <c r="F21" i="17" s="1"/>
  <c r="AQ9" i="17"/>
  <c r="AQ13" i="17" s="1"/>
  <c r="I19" i="16"/>
  <c r="I21" i="16"/>
  <c r="BC21" i="16"/>
  <c r="BC19" i="16"/>
  <c r="AY19" i="13"/>
  <c r="BG19" i="13" s="1"/>
  <c r="BG18" i="13"/>
  <c r="N19" i="17"/>
  <c r="AA13" i="21"/>
  <c r="F19" i="20"/>
  <c r="L19" i="20"/>
  <c r="J19" i="17"/>
  <c r="BF18" i="8"/>
  <c r="J18" i="7" s="1"/>
  <c r="BI19" i="1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Z20" i="17"/>
  <c r="BA20" i="16"/>
  <c r="O12" i="11"/>
  <c r="BD19" i="8" l="1"/>
  <c r="BM19" i="11"/>
  <c r="BG19" i="11"/>
  <c r="G19" i="3"/>
  <c r="BV21" i="16"/>
  <c r="BV19" i="16"/>
  <c r="Q13" i="11"/>
  <c r="BG19" i="8"/>
  <c r="H19" i="2"/>
  <c r="I19" i="3"/>
  <c r="J19" i="2"/>
  <c r="S19" i="17"/>
  <c r="F19" i="11"/>
  <c r="AQ19" i="11" s="1"/>
  <c r="AQ13" i="11"/>
  <c r="AQ21" i="11" s="1"/>
  <c r="F19" i="17"/>
  <c r="AQ19" i="17" s="1"/>
  <c r="F21" i="16"/>
  <c r="E19" i="6"/>
  <c r="C19" i="6"/>
  <c r="AO19" i="11"/>
  <c r="AM19" i="11"/>
  <c r="B19" i="6"/>
  <c r="H19" i="7" s="1"/>
  <c r="AL19" i="11"/>
  <c r="BL18" i="16"/>
  <c r="F19" i="16"/>
  <c r="E21" i="21"/>
  <c r="E19" i="21"/>
  <c r="AW21" i="20"/>
  <c r="AS21" i="20"/>
  <c r="AR21" i="20" s="1"/>
  <c r="AV21" i="11"/>
  <c r="C19" i="14"/>
  <c r="BF19" i="8"/>
  <c r="Z19" i="21"/>
  <c r="M19" i="16"/>
  <c r="AM21" i="11"/>
  <c r="U19" i="20"/>
  <c r="K19" i="20"/>
  <c r="AS19" i="20" s="1"/>
  <c r="BT21" i="16"/>
  <c r="BT19" i="16"/>
  <c r="E19" i="3"/>
  <c r="AN19" i="11"/>
  <c r="D19" i="6"/>
  <c r="J19" i="21"/>
  <c r="AT19" i="21" s="1"/>
  <c r="BE19" i="8"/>
  <c r="J18" i="12"/>
  <c r="K13" i="7"/>
  <c r="K13" i="12"/>
  <c r="N19" i="11"/>
  <c r="AA21" i="21"/>
  <c r="Z21" i="21"/>
  <c r="I21" i="12"/>
  <c r="K18" i="7"/>
  <c r="K18" i="12"/>
  <c r="E21" i="16"/>
  <c r="K19" i="12" l="1"/>
  <c r="S19" i="11"/>
  <c r="T19" i="11" s="1"/>
  <c r="T21" i="11"/>
  <c r="I19" i="7"/>
  <c r="AV19" i="11"/>
  <c r="I19" i="12"/>
  <c r="K19" i="7"/>
  <c r="K21" i="12"/>
  <c r="W19" i="20"/>
  <c r="W21" i="20"/>
  <c r="E19" i="20"/>
  <c r="X19" i="20"/>
  <c r="BS19" i="16"/>
  <c r="BQ21" i="16"/>
  <c r="AT21" i="11"/>
  <c r="AT19" i="11"/>
  <c r="J21" i="12"/>
  <c r="AA19" i="21"/>
  <c r="AS19" i="11"/>
  <c r="AS21" i="11"/>
  <c r="P19" i="11"/>
  <c r="Q19" i="11"/>
  <c r="X21" i="20"/>
  <c r="E21" i="11"/>
  <c r="S21" i="11"/>
  <c r="E19" i="16"/>
  <c r="Z21" i="16"/>
  <c r="Z19" i="16"/>
  <c r="L19" i="16"/>
  <c r="BL19" i="16" s="1"/>
  <c r="J19" i="7"/>
  <c r="J19" i="12"/>
  <c r="E21" i="20" l="1"/>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<sst xmlns="http://schemas.openxmlformats.org/spreadsheetml/2006/main" count="2102" uniqueCount="918">
  <si>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</si>
  <si>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</si>
  <si>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</si>
  <si>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</si>
  <si>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</si>
  <si>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</si>
  <si>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</si>
  <si>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</si>
  <si>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</si>
  <si>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</si>
  <si>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</si>
  <si>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</si>
  <si>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</si>
  <si>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</si>
  <si>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</si>
  <si>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</si>
  <si>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</si>
  <si>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</si>
  <si>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</si>
  <si>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</si>
  <si>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</si>
  <si>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</si>
  <si>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</si>
  <si>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</si>
  <si>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</si>
  <si>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</si>
  <si>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</si>
  <si>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</si>
  <si>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</si>
  <si>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</si>
  <si>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</si>
  <si>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</si>
  <si>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</si>
  <si>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</si>
  <si>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</si>
  <si>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</si>
  <si>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</si>
  <si>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</si>
  <si>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</si>
  <si>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</si>
  <si>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</si>
  <si>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</si>
  <si>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</si>
  <si>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</si>
  <si>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</si>
  <si>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</si>
  <si>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</si>
  <si>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</si>
  <si>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</si>
  <si>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</si>
  <si>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</si>
  <si>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</si>
  <si>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</si>
  <si>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</si>
  <si>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</si>
  <si>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</si>
  <si>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</si>
  <si>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</si>
  <si>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</si>
  <si>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</si>
  <si>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</si>
  <si>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</si>
  <si>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</si>
  <si>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</si>
  <si>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</si>
  <si>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</si>
  <si>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</si>
  <si>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</si>
  <si>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</si>
  <si>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</si>
  <si>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</si>
  <si>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</si>
  <si>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</si>
  <si>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</si>
  <si>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</si>
  <si>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</si>
  <si>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</si>
  <si>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</si>
  <si>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</si>
  <si>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</si>
  <si>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</si>
  <si>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</si>
  <si>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</si>
  <si>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</si>
  <si>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</si>
  <si>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</si>
  <si>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</si>
  <si>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</si>
  <si>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</si>
  <si>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</si>
  <si>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</si>
  <si>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</si>
  <si>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</si>
  <si>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</si>
  <si>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</si>
  <si>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</si>
  <si>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</si>
  <si>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</si>
  <si>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</si>
  <si>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</si>
  <si>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</si>
  <si>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</si>
  <si>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</si>
  <si>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</si>
  <si>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</si>
  <si>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</si>
  <si>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</si>
  <si>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</si>
  <si>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</si>
  <si>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</si>
  <si>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</si>
  <si>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</si>
  <si>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</si>
  <si>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</si>
  <si>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</si>
  <si>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</si>
  <si>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</si>
  <si>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</si>
  <si>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</si>
  <si>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</si>
  <si>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</si>
  <si>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</si>
  <si>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</si>
  <si>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</si>
  <si>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</si>
  <si>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</si>
  <si>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</si>
  <si>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</si>
  <si>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</si>
  <si>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</si>
  <si>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</si>
  <si>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</si>
  <si>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</si>
  <si>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</si>
  <si>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</si>
  <si>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</si>
  <si>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</si>
  <si>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</si>
  <si>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</si>
  <si>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</si>
  <si>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</si>
  <si>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</si>
  <si>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</si>
  <si>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</si>
  <si>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</si>
  <si>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</si>
  <si>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</si>
  <si>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</si>
  <si>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</si>
  <si>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</si>
  <si>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</si>
  <si>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</si>
  <si>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</si>
  <si>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</si>
  <si>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</si>
  <si>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</si>
  <si>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</si>
  <si>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</si>
  <si>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</si>
  <si>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</si>
  <si>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</si>
  <si>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</si>
  <si>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</si>
  <si>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</si>
  <si>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</si>
  <si>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</si>
  <si>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</si>
  <si>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</si>
  <si>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</si>
  <si>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</si>
  <si>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</si>
  <si>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</si>
  <si>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</si>
  <si>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</si>
  <si>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</si>
  <si>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</si>
  <si>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</si>
  <si>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</si>
  <si>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</si>
  <si>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</si>
  <si>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</si>
  <si>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</si>
  <si>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</si>
  <si>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</si>
  <si>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</si>
  <si>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</si>
  <si>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</si>
  <si>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</si>
  <si>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</si>
  <si>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</si>
  <si>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</si>
  <si>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</si>
  <si>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</si>
  <si>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</si>
  <si>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</si>
  <si>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</si>
  <si>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</si>
  <si>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</si>
  <si>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</si>
  <si>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</si>
  <si>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</si>
  <si>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</si>
  <si>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</si>
  <si>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</si>
  <si>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</si>
  <si>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</si>
  <si>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</si>
  <si>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</si>
  <si>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</si>
  <si>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</si>
  <si>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</si>
  <si>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</si>
  <si>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</si>
  <si>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</si>
  <si>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</si>
  <si>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</si>
  <si>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</si>
  <si>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</si>
  <si>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</si>
  <si>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</si>
  <si>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</si>
  <si>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</si>
  <si>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</si>
  <si>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</si>
  <si>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</si>
  <si>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</si>
  <si>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</si>
  <si>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</si>
  <si>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</si>
  <si>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</si>
  <si>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</si>
  <si>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</si>
  <si>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</si>
  <si>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</si>
  <si>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</si>
  <si>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</si>
  <si>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</si>
  <si>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</si>
  <si>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</si>
  <si>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</si>
  <si>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</si>
  <si>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</si>
  <si>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</si>
  <si>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</si>
  <si>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</si>
  <si>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</si>
  <si>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</si>
  <si>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</si>
  <si>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</si>
  <si>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</si>
  <si>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</si>
  <si>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</si>
  <si>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</si>
  <si>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</si>
  <si>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</si>
  <si>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</si>
  <si>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</si>
  <si>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</si>
  <si>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</si>
  <si>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</si>
  <si>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</si>
  <si>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</si>
  <si>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</si>
  <si>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</si>
  <si>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</si>
  <si>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</si>
  <si>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</si>
  <si>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</si>
  <si>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</si>
  <si>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</si>
  <si>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</si>
  <si>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</si>
  <si>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</si>
  <si>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</si>
  <si>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</si>
  <si>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</si>
  <si>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</si>
  <si>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</si>
  <si>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</si>
  <si>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</si>
  <si>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</si>
  <si>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</si>
  <si>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</si>
  <si>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</si>
  <si>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</si>
  <si>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</si>
  <si>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</si>
  <si>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</si>
  <si>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</si>
  <si>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</si>
  <si>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</si>
  <si>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</si>
  <si>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</si>
  <si>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</si>
  <si>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</si>
  <si>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</si>
  <si>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</si>
  <si>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</si>
  <si>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</si>
  <si>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</si>
  <si>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</si>
  <si>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</si>
  <si>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</si>
  <si>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</si>
  <si>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</si>
  <si>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</si>
  <si>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</si>
  <si>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</si>
  <si>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</si>
  <si>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</si>
  <si>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</si>
  <si>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</si>
  <si>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</si>
  <si>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</si>
  <si>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</si>
  <si>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</si>
  <si>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</si>
  <si>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</si>
  <si>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</si>
  <si>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</si>
  <si>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</si>
  <si>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</si>
  <si>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</si>
  <si>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</si>
  <si>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</si>
  <si>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</si>
  <si>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</si>
  <si>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</si>
  <si>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</si>
  <si>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</si>
  <si>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</si>
  <si>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</si>
  <si>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</si>
  <si>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</si>
  <si>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</si>
  <si>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</si>
  <si>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</si>
  <si>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</si>
  <si>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</si>
  <si>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</si>
  <si>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</si>
  <si>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</si>
  <si>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</si>
  <si>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</si>
  <si>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</si>
  <si>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</si>
  <si>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</si>
  <si>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</si>
  <si>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</si>
  <si>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</si>
  <si>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</si>
  <si>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</si>
  <si>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</si>
  <si>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</si>
  <si>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</si>
  <si>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</si>
  <si>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</si>
  <si>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</si>
  <si>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</si>
  <si>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</si>
  <si>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</si>
  <si>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</si>
  <si>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</si>
  <si>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</si>
  <si>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</si>
  <si>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</si>
  <si>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</si>
  <si>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</si>
  <si>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</si>
  <si>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</si>
  <si>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</si>
  <si>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</si>
  <si>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</si>
  <si>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</si>
  <si>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</si>
  <si>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</si>
  <si>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</si>
  <si>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</si>
  <si>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</si>
  <si>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</si>
  <si>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</si>
  <si>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</si>
  <si>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</si>
  <si>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</si>
  <si>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</si>
  <si>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</si>
  <si>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</si>
  <si>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</si>
  <si>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</si>
  <si>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</si>
  <si>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</si>
  <si>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</si>
  <si>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</si>
  <si>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</si>
  <si>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</si>
  <si>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</si>
  <si>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</si>
  <si>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</si>
  <si>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</si>
  <si>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</si>
  <si>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</si>
  <si>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</si>
  <si>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</si>
  <si>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</si>
  <si>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</si>
  <si>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</si>
  <si>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</si>
  <si>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</si>
  <si>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</si>
  <si>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</si>
  <si>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</si>
  <si>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</si>
  <si>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</si>
  <si>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</si>
  <si>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</si>
  <si>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</si>
  <si>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</si>
  <si>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</si>
  <si>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</si>
  <si>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</si>
  <si>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</si>
  <si>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</si>
  <si>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</si>
  <si>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</si>
  <si>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</si>
  <si>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</si>
  <si>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</si>
  <si>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</si>
  <si>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</si>
  <si>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</si>
  <si>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</si>
  <si>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</si>
  <si>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</si>
  <si>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</si>
  <si>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</si>
  <si>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</si>
  <si>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</si>
  <si>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</si>
  <si>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</si>
  <si>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</si>
  <si>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</si>
  <si>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</si>
  <si>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</si>
  <si>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</si>
  <si>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</si>
  <si>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</si>
  <si>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</si>
  <si>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</si>
  <si>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</si>
  <si>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</si>
  <si>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</si>
  <si>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</si>
  <si>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</si>
  <si>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</si>
  <si>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</si>
  <si>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</si>
  <si>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</si>
  <si>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</si>
  <si>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</si>
  <si>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</si>
  <si>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</si>
  <si>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</si>
  <si>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</si>
  <si>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</si>
  <si>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</si>
  <si>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</si>
  <si>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</si>
  <si>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</si>
  <si>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</si>
  <si>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</si>
  <si>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</si>
  <si>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</si>
  <si>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</si>
  <si>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</si>
  <si>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</si>
  <si>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</si>
  <si>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</si>
  <si>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</si>
  <si>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</si>
  <si>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</si>
  <si>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</si>
  <si>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</si>
  <si>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</si>
  <si>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</si>
  <si>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</si>
  <si>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</si>
  <si>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</si>
  <si>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</si>
  <si>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</si>
  <si>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</si>
  <si>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</si>
  <si>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</si>
  <si>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</si>
  <si>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</si>
  <si>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</si>
  <si>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</si>
  <si>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</si>
  <si>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</si>
  <si>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</si>
  <si>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</si>
  <si>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</si>
  <si>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</si>
  <si>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</si>
  <si>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</si>
  <si>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</si>
  <si>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</si>
  <si>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</si>
  <si>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</si>
  <si>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</si>
  <si>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</si>
  <si>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</si>
  <si>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</si>
  <si>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</si>
  <si>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</si>
  <si>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</si>
  <si>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</si>
  <si>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</si>
  <si>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</si>
  <si>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</si>
  <si>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</si>
  <si>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</si>
  <si>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PCTOT247+MEDTO247+INCTO247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</si>
  <si>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</si>
  <si>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</si>
  <si>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</si>
  <si>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</si>
  <si>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</si>
  <si>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</si>
  <si>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</si>
  <si>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</si>
  <si>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</si>
  <si>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</si>
  <si>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</si>
  <si>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</si>
  <si>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</si>
  <si>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</si>
  <si>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</si>
  <si>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</si>
  <si>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</si>
  <si>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</si>
  <si>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</si>
  <si>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</si>
  <si>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</si>
  <si>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</si>
  <si>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</si>
  <si>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</si>
  <si>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</si>
  <si>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</si>
  <si>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</si>
  <si>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</si>
  <si>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</si>
  <si>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</si>
  <si>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</si>
  <si>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</si>
  <si>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</si>
  <si>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</si>
  <si>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</si>
  <si>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</si>
  <si>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</si>
  <si>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</si>
  <si>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</si>
  <si>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</si>
  <si>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</si>
  <si>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</si>
  <si>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</si>
  <si>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</si>
  <si>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</si>
  <si>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</si>
  <si>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</si>
  <si>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</si>
  <si>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</si>
  <si>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</si>
  <si>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</si>
  <si>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</si>
  <si>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</si>
  <si>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</si>
  <si>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</si>
  <si>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</si>
  <si>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</si>
  <si>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</si>
  <si>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</si>
  <si>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</si>
  <si>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</si>
  <si>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</si>
  <si>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</si>
  <si>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</si>
  <si>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</si>
  <si>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</si>
  <si>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</si>
  <si>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</si>
  <si>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</si>
  <si>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</si>
  <si>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</si>
  <si>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</si>
  <si>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</si>
  <si>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</si>
  <si>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</si>
  <si>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</si>
  <si>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</si>
  <si>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</si>
  <si>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</si>
  <si>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</si>
  <si>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</si>
  <si>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</si>
  <si>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</si>
  <si>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</si>
  <si>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</si>
  <si>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</si>
  <si>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</si>
  <si>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</si>
  <si>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</si>
  <si>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</si>
  <si>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</si>
  <si>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</si>
  <si>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</si>
  <si>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</si>
  <si>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</si>
  <si>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</si>
  <si>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</si>
  <si>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</si>
  <si>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</si>
  <si>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</si>
  <si>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</si>
  <si>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</si>
  <si>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</si>
  <si>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</si>
  <si>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</si>
  <si>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</si>
  <si>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</si>
  <si>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</si>
  <si>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</si>
  <si>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</si>
  <si>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</si>
  <si>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</si>
  <si>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</si>
  <si>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</si>
  <si>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</si>
  <si>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</si>
  <si>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</si>
  <si>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</si>
  <si>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</si>
  <si>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</si>
  <si>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</si>
  <si>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</si>
  <si>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</si>
  <si>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</si>
  <si>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</si>
  <si>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</si>
  <si>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</si>
  <si>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</si>
  <si>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</si>
  <si>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</si>
  <si>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</si>
  <si>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</si>
  <si>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</si>
  <si>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</si>
  <si>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</si>
  <si>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</si>
  <si>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</si>
  <si>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</si>
  <si>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</si>
  <si>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</si>
  <si>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</si>
  <si>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</si>
  <si>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</si>
  <si>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</si>
  <si>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</si>
  <si>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</si>
  <si>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</si>
  <si>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</si>
  <si>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</si>
  <si>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</si>
  <si>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</si>
  <si>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</si>
  <si>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</si>
  <si>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</si>
  <si>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</si>
  <si>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</si>
  <si>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</si>
  <si>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</si>
  <si>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</si>
  <si>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</si>
  <si>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</si>
  <si>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</si>
  <si>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</si>
  <si>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</si>
  <si>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</si>
  <si>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</si>
  <si>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</si>
  <si>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</si>
  <si>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</si>
  <si>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</si>
  <si>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</si>
  <si>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</si>
  <si>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</si>
  <si>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</si>
  <si>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</si>
  <si>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</si>
  <si>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</si>
  <si>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</si>
  <si>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</si>
  <si>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</si>
  <si>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</si>
  <si>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</si>
  <si>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</si>
  <si>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</si>
  <si>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</si>
  <si>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</si>
  <si>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</si>
  <si>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</si>
  <si>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</si>
  <si>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</si>
  <si>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</si>
  <si>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</si>
  <si>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</si>
  <si>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</si>
  <si>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</si>
  <si>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</si>
  <si>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</si>
  <si>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</si>
  <si>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</si>
  <si>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</si>
  <si>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</si>
  <si>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</si>
  <si>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</si>
  <si>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</si>
  <si>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</si>
  <si>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</si>
  <si>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</si>
  <si>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</si>
  <si>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</si>
  <si>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</si>
  <si>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</si>
  <si>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</si>
  <si>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</si>
  <si>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</si>
  <si>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</si>
  <si>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</si>
  <si>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</si>
  <si>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</si>
  <si>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</si>
  <si>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</si>
  <si>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</si>
  <si>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</si>
  <si>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</si>
  <si>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</si>
  <si>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</si>
  <si>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</si>
  <si>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</si>
  <si>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</si>
  <si>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</si>
  <si>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</si>
  <si>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</si>
  <si>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</si>
  <si>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</si>
  <si>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</si>
  <si>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</si>
  <si>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</si>
  <si>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</si>
  <si>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</si>
  <si>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</si>
  <si>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</si>
  <si>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</si>
  <si>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</si>
  <si>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</si>
  <si>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</si>
  <si>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</si>
  <si>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</si>
  <si>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</si>
  <si>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</si>
  <si>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</si>
  <si>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</si>
  <si>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</si>
  <si>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</si>
  <si>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</si>
  <si>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</si>
  <si>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</si>
  <si>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</si>
  <si>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</si>
  <si>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</si>
  <si>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</si>
  <si>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</si>
  <si>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</si>
  <si>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</si>
  <si>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</si>
  <si>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</si>
  <si>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</si>
  <si>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</si>
  <si>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</si>
  <si>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</si>
  <si>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</si>
  <si>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</si>
  <si>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</si>
  <si>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</si>
  <si>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</si>
  <si>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</si>
  <si>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</si>
  <si>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</si>
  <si>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</si>
  <si>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</si>
  <si>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</si>
  <si>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</si>
  <si>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</si>
  <si>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</si>
  <si>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</si>
  <si>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</si>
  <si>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</si>
  <si>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</si>
  <si>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</si>
  <si>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</si>
  <si>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</si>
  <si>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</si>
  <si>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</si>
  <si>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</si>
  <si>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</si>
  <si>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</si>
  <si>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</si>
  <si>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</si>
  <si>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</si>
  <si>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</si>
  <si>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</si>
  <si>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</si>
  <si>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</si>
  <si>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</si>
  <si>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</si>
  <si>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</si>
  <si>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</si>
  <si>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</si>
  <si>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</si>
  <si>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</si>
  <si>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</si>
  <si>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</si>
  <si>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</si>
  <si>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</si>
  <si>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</si>
  <si>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</si>
  <si>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</si>
  <si>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</si>
  <si>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</si>
  <si>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</si>
  <si>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</si>
  <si>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</si>
  <si>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</si>
  <si>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</si>
  <si>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</si>
  <si>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</si>
  <si>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</si>
  <si>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</si>
  <si>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</si>
  <si>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</si>
  <si>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</si>
  <si>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</si>
  <si>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</si>
  <si>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</si>
  <si>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</si>
  <si>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</si>
  <si>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</si>
  <si>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</si>
  <si>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</si>
  <si>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</si>
  <si>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</si>
  <si>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</si>
  <si>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</si>
  <si>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</si>
  <si>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</si>
  <si>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</si>
  <si>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</si>
  <si>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</si>
  <si>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</si>
  <si>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</si>
  <si>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</si>
  <si>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</si>
  <si>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</si>
  <si>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</si>
  <si>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</si>
  <si>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</si>
  <si>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</si>
  <si>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</si>
  <si>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</si>
  <si>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</si>
  <si>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</si>
  <si>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</si>
  <si>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</si>
  <si>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</si>
  <si>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</si>
  <si>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</si>
  <si>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</si>
  <si>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</si>
  <si>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</si>
  <si>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</si>
  <si>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</si>
  <si>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</si>
  <si>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</si>
  <si>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</si>
  <si>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</si>
  <si>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</si>
  <si>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</si>
  <si>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</si>
  <si>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</si>
  <si>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</si>
  <si>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</si>
  <si>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</si>
  <si>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</si>
  <si>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</si>
  <si>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</si>
  <si>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</si>
  <si>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</si>
  <si>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CODUNIDAD</t>
  </si>
  <si>
    <t>156</t>
  </si>
  <si>
    <t>CODUNIDAD
(Se muestra en  lsa coluna BZ de juez,
 Nº asuntos, resol asuntos, las de indicadores)</t>
  </si>
  <si>
    <t xml:space="preserve"> En comisión de servicio sin relevación de funciones o cualquier otra sustitución retribuida (No refuerzo)</t>
  </si>
  <si>
    <t>Fecha Informe: 29 nov. 2024</t>
  </si>
  <si>
    <t>Tribunales de Justicia</t>
  </si>
  <si>
    <t>ANDALUCIA</t>
  </si>
  <si>
    <t>Provincias</t>
  </si>
  <si>
    <t>HUELVA</t>
  </si>
  <si>
    <t>Resumenes por Partidos Judiciales</t>
  </si>
  <si>
    <t>VALVERDE DEL CAMINO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</si>
</sst>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
      <patternFill patternType="solid">
        <fgColor rgb="FFE684F0"/>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60">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5" fillId="0" borderId="0" xfId="0" applyFont="1"/>
    <xf numFmtId="1" fontId="5" fillId="0" borderId="0" xfId="0" applyNumberFormat="1" applyFont="1"/>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17" fillId="10" borderId="74" xfId="0" applyFont="1" applyFill="1" applyBorder="1" applyAlignment="1">
      <alignment horizontal="center"/>
    </xf>
    <xf numFmtId="0" fontId="18" fillId="0" borderId="0" xfId="0" applyFont="1"/>
    <xf numFmtId="0" fontId="18" fillId="0" borderId="0" xfId="0" applyFont="1" applyAlignment="1">
      <alignment horizontal="left"/>
    </xf>
    <xf numFmtId="0" fontId="18" fillId="0" borderId="62" xfId="0" applyFont="1" applyBorder="1"/>
    <xf numFmtId="0" fontId="18" fillId="0" borderId="62" xfId="0" applyFont="1" applyBorder="1" applyAlignment="1">
      <alignment horizontal="left"/>
    </xf>
    <xf numFmtId="0" fontId="84" fillId="30" borderId="68" xfId="0" applyFont="1" applyFill="1" applyBorder="1" applyAlignment="1">
      <alignment horizontal="center" vertical="center" wrapText="1"/>
    </xf>
    <xf numFmtId="0" fontId="84" fillId="30" borderId="7" xfId="0" applyFont="1" applyFill="1" applyBorder="1" applyAlignment="1">
      <alignment horizontal="center" vertical="center" wrapText="1"/>
    </xf>
    <xf numFmtId="0" fontId="84" fillId="30" borderId="98" xfId="0" applyFont="1" applyFill="1" applyBorder="1" applyAlignment="1">
      <alignment horizontal="center" vertical="center" wrapText="1"/>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37"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4" fillId="2" borderId="68" xfId="0" applyFont="1" applyFill="1" applyBorder="1" applyAlignment="1" applyProtection="1">
      <alignment horizontal="center" vertical="center" textRotation="180" wrapText="1"/>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2" xfId="0" applyFont="1" applyBorder="1" applyAlignment="1" applyProtection="1">
      <alignment horizontal="center"/>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28" fillId="4" borderId="112"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70">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2143125</xdr:colOff>
      <xdr:row>0</xdr:row>
      <xdr:rowOff>1057275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8" t="s">
        <v>100</v>
      </c>
      <c r="B3" s="1189"/>
      <c r="C3" s="1189"/>
      <c r="D3" s="1190"/>
      <c r="E3" s="366"/>
      <c r="F3" s="2"/>
      <c r="Q3" s="346">
        <v>1</v>
      </c>
      <c r="R3" s="346">
        <v>3</v>
      </c>
      <c r="S3" t="b">
        <f>AND(Q3&gt;=TrimIni,Q3&lt;=TrimFin)</f>
        <v>0</v>
      </c>
    </row>
    <row r="4" spans="1:19" ht="22.5" customHeight="1" thickBot="1">
      <c r="A4" s="367" t="s">
        <v>911</v>
      </c>
      <c r="B4" s="366"/>
      <c r="C4" s="366"/>
      <c r="D4" s="366"/>
      <c r="E4" s="366"/>
      <c r="F4" s="2"/>
      <c r="Q4" s="346">
        <v>2</v>
      </c>
      <c r="R4" s="346">
        <v>3</v>
      </c>
      <c r="S4" t="b">
        <f>AND(Q4&gt;=TrimIni,Q4&lt;=TrimFin)</f>
        <v>0</v>
      </c>
    </row>
    <row r="5" spans="1:19" ht="15.75" thickBot="1">
      <c r="A5" s="368" t="s">
        <v>37</v>
      </c>
      <c r="B5" s="369">
        <v>2024</v>
      </c>
      <c r="C5" s="370" t="s">
        <v>215</v>
      </c>
      <c r="D5" s="371">
        <v>3</v>
      </c>
      <c r="E5" s="372"/>
      <c r="F5" s="3"/>
      <c r="H5" t="s">
        <v>424</v>
      </c>
      <c r="Q5" s="346">
        <v>3</v>
      </c>
      <c r="R5" s="346">
        <v>2</v>
      </c>
      <c r="S5" t="b">
        <f>AND(Q5&gt;=TrimIni,Q5&lt;=TrimFin)</f>
        <v>1</v>
      </c>
    </row>
    <row r="6" spans="1:19" ht="15">
      <c r="A6" s="373"/>
      <c r="B6" s="372"/>
      <c r="C6" s="370" t="s">
        <v>216</v>
      </c>
      <c r="D6" s="371">
        <v>3</v>
      </c>
      <c r="E6" s="372"/>
      <c r="F6" s="3"/>
      <c r="Q6" s="346">
        <v>4</v>
      </c>
      <c r="R6" s="346">
        <v>3</v>
      </c>
      <c r="S6" t="b">
        <f>AND(Q6&gt;=TrimIni,Q6&lt;=TrimFin)</f>
        <v>0</v>
      </c>
    </row>
    <row r="7" spans="1:19" ht="13.5" thickBot="1">
      <c r="A7" s="374"/>
      <c r="B7" s="375"/>
      <c r="C7" s="372"/>
      <c r="D7" s="372"/>
      <c r="E7" s="372"/>
      <c r="F7" s="3"/>
      <c r="Q7" s="346"/>
      <c r="R7" s="346"/>
    </row>
    <row r="8" spans="1:19" ht="22.5">
      <c r="A8" s="472"/>
      <c r="B8" s="376"/>
      <c r="C8" s="377"/>
      <c r="D8" s="378"/>
      <c r="E8" s="379"/>
      <c r="F8" s="3"/>
      <c r="Q8" s="346"/>
      <c r="R8" s="347">
        <f>11/SUMIF(S3:S6,TRUE,R3:R6)</f>
        <v>5.5</v>
      </c>
    </row>
    <row r="9" spans="1:19">
      <c r="A9" s="380" t="s">
        <v>912</v>
      </c>
      <c r="B9" s="375" t="s">
        <v>913</v>
      </c>
      <c r="C9" s="372"/>
      <c r="D9" s="372"/>
      <c r="E9" s="381"/>
      <c r="F9" s="3"/>
    </row>
    <row r="10" spans="1:19">
      <c r="A10" s="380" t="s">
        <v>914</v>
      </c>
      <c r="B10" s="372" t="s">
        <v>915</v>
      </c>
      <c r="C10" s="372"/>
      <c r="D10" s="372"/>
      <c r="E10" s="381"/>
      <c r="F10" s="3"/>
      <c r="Q10" s="346">
        <v>0</v>
      </c>
    </row>
    <row r="11" spans="1:19" ht="13.5" thickBot="1">
      <c r="A11" s="382" t="s">
        <v>916</v>
      </c>
      <c r="B11" s="383" t="s">
        <v>917</v>
      </c>
      <c r="C11" s="383"/>
      <c r="D11" s="383"/>
      <c r="E11" s="384"/>
      <c r="F11" s="3"/>
    </row>
    <row r="12" spans="1:19" ht="40.5" customHeight="1" thickBot="1">
      <c r="A12" s="374"/>
      <c r="B12" s="372"/>
      <c r="C12" s="372"/>
      <c r="D12" s="372"/>
      <c r="E12" s="372"/>
      <c r="F12" s="3"/>
      <c r="Q12" s="1105"/>
    </row>
    <row r="13" spans="1:19" ht="15">
      <c r="A13" s="385" t="s">
        <v>124</v>
      </c>
      <c r="B13" s="386" t="s">
        <v>55</v>
      </c>
      <c r="C13" s="790" t="s">
        <v>728</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YBQaM0JQaa5pHfGIw9agselMljK1V0zI2pMUcZPQv9XQuFDPzm8NvWHJk9HT3uqMs7RwUZClq6REq3n8JKVpiQ==" saltValue="2PYhYDe/KJ5/R1V312l2Aw=="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BQ27"/>
  <sheetViews>
    <sheetView zoomScale="85" zoomScaleNormal="85" workbookViewId="0">
      <selection activeCell="B51" sqref="B51"/>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68" width="11.42578125" style="372"/>
    <col min="69" max="69" width="0" style="1026" hidden="1" customWidth="1"/>
    <col min="70" max="16384" width="11.42578125" style="372"/>
  </cols>
  <sheetData>
    <row r="1" spans="1:69" ht="108" customHeight="1"/>
    <row r="2" spans="1:69">
      <c r="A2" s="375"/>
      <c r="B2" s="389" t="str">
        <f>Criterios!A9 &amp;"  "&amp;Criterios!B9</f>
        <v>Tribunales de Justicia  ANDALUCIA</v>
      </c>
      <c r="C2" s="375"/>
      <c r="D2" s="375"/>
      <c r="E2" s="375"/>
      <c r="F2" s="375"/>
    </row>
    <row r="3" spans="1:69" ht="19.5">
      <c r="A3" s="390" t="s">
        <v>115</v>
      </c>
      <c r="B3" s="391" t="str">
        <f>Criterios!A10 &amp;"  "&amp;Criterios!B10</f>
        <v>Provincias  HUELVA</v>
      </c>
      <c r="D3" s="375"/>
      <c r="E3" s="375"/>
      <c r="F3" s="375"/>
      <c r="BQ3" s="471"/>
    </row>
    <row r="4" spans="1:69" ht="13.5" thickBot="1">
      <c r="A4" s="375"/>
      <c r="B4" s="391" t="str">
        <f>Criterios!A11 &amp;"  "&amp;Criterios!B11</f>
        <v>Resumenes por Partidos Judiciales  VALVERDE DEL CAMINO</v>
      </c>
      <c r="C4" s="375"/>
      <c r="D4" s="375"/>
      <c r="E4" s="375"/>
      <c r="F4" s="375"/>
      <c r="BQ4" s="471"/>
    </row>
    <row r="5" spans="1:69" ht="15.75" customHeight="1">
      <c r="A5" s="1198" t="str">
        <f>"Año:  " &amp;Criterios!B5 &amp; "     Trimestre   " &amp;Criterios!D5 &amp; " al " &amp;Criterios!D6</f>
        <v>Año:  2024     Trimestre   3 al 3</v>
      </c>
      <c r="B5" s="791" t="s">
        <v>116</v>
      </c>
      <c r="C5" s="1200" t="s">
        <v>128</v>
      </c>
      <c r="D5" s="1201"/>
      <c r="E5" s="1200" t="s">
        <v>92</v>
      </c>
      <c r="F5" s="1201"/>
      <c r="G5" s="1200" t="s">
        <v>9</v>
      </c>
      <c r="H5" s="1201"/>
      <c r="I5" s="1200" t="s">
        <v>129</v>
      </c>
      <c r="J5" s="1201"/>
      <c r="K5" s="1207" t="s">
        <v>748</v>
      </c>
      <c r="L5" s="1191" t="s">
        <v>794</v>
      </c>
      <c r="M5" s="1191" t="s">
        <v>855</v>
      </c>
      <c r="N5" s="1194" t="s">
        <v>747</v>
      </c>
      <c r="BQ5" s="471"/>
    </row>
    <row r="6" spans="1:69" ht="21.75" customHeight="1" thickBot="1">
      <c r="A6" s="1199"/>
      <c r="B6" s="792"/>
      <c r="C6" s="1202"/>
      <c r="D6" s="1203"/>
      <c r="E6" s="1202"/>
      <c r="F6" s="1203"/>
      <c r="G6" s="1202"/>
      <c r="H6" s="1203"/>
      <c r="I6" s="1202"/>
      <c r="J6" s="1203"/>
      <c r="K6" s="1208"/>
      <c r="L6" s="1192"/>
      <c r="M6" s="1192"/>
      <c r="N6" s="1195"/>
      <c r="BQ6" s="471"/>
    </row>
    <row r="7" spans="1:69" ht="38.25" customHeight="1" thickTop="1" thickBot="1">
      <c r="A7" s="392" t="s">
        <v>742</v>
      </c>
      <c r="B7" s="393" t="s">
        <v>117</v>
      </c>
      <c r="C7" s="394" t="s">
        <v>5</v>
      </c>
      <c r="D7" s="395" t="s">
        <v>6</v>
      </c>
      <c r="E7" s="394" t="s">
        <v>5</v>
      </c>
      <c r="F7" s="395" t="s">
        <v>6</v>
      </c>
      <c r="G7" s="394" t="s">
        <v>5</v>
      </c>
      <c r="H7" s="395" t="s">
        <v>6</v>
      </c>
      <c r="I7" s="394" t="s">
        <v>5</v>
      </c>
      <c r="J7" s="395" t="s">
        <v>6</v>
      </c>
      <c r="K7" s="1209"/>
      <c r="L7" s="1193"/>
      <c r="M7" s="1193"/>
      <c r="N7" s="1196"/>
      <c r="BQ7" s="471"/>
    </row>
    <row r="8" spans="1:69">
      <c r="A8" s="396" t="str">
        <f>Datos!A8</f>
        <v>Jurisdicción Civil ( 1 ):</v>
      </c>
      <c r="B8" s="397"/>
      <c r="C8" s="398"/>
      <c r="D8" s="399"/>
      <c r="E8" s="398"/>
      <c r="F8" s="399"/>
      <c r="G8" s="398"/>
      <c r="H8" s="399"/>
      <c r="I8" s="398"/>
      <c r="J8" s="399"/>
      <c r="K8" s="401"/>
      <c r="L8" s="1103"/>
      <c r="M8" s="401"/>
      <c r="N8" s="401"/>
    </row>
    <row r="9" spans="1:69">
      <c r="A9" s="402" t="str">
        <f>Datos!A9</f>
        <v xml:space="preserve">Jdos. 1ª Instancia   </v>
      </c>
      <c r="B9" s="403">
        <f>Datos!AO9</f>
        <v>0</v>
      </c>
      <c r="C9" s="403" t="str">
        <f>IF(ISNUMBER(IF(J_V="SI",Datos!I9,Datos!I9+Datos!Y9)),IF(J_V="SI",Datos!I9,Datos!I9+Datos!Y9)," - ")</f>
        <v xml:space="preserve"> - </v>
      </c>
      <c r="D9" s="404" t="str">
        <f>IF(ISNUMBER(C9/Datos!BH9),C9/Datos!BH9," - ")</f>
        <v xml:space="preserve"> - </v>
      </c>
      <c r="E9" s="403" t="str">
        <f>IF(ISNUMBER(IF(J_V="SI",Datos!J9,Datos!J9+Datos!Z9)),IF(J_V="SI",Datos!J9,Datos!J9+Datos!Z9)," - ")</f>
        <v xml:space="preserve"> - </v>
      </c>
      <c r="F9" s="404" t="str">
        <f>IF(ISNUMBER(E9/B9),E9/B9," - ")</f>
        <v xml:space="preserve"> - </v>
      </c>
      <c r="G9" s="403" t="str">
        <f>IF(ISNUMBER(IF(J_V="SI",Datos!K9,Datos!K9+Datos!AA9)),IF(J_V="SI",Datos!K9,Datos!K9+Datos!AA9)," - ")</f>
        <v xml:space="preserve"> - </v>
      </c>
      <c r="H9" s="404" t="str">
        <f>IF(ISNUMBER(G9/B9),G9/B9," - ")</f>
        <v xml:space="preserve"> - </v>
      </c>
      <c r="I9" s="403" t="str">
        <f>IF(ISNUMBER(IF(J_V="SI",Datos!L9,Datos!L9+Datos!AB9)),IF(J_V="SI",Datos!L9,Datos!L9+Datos!AB9)," - ")</f>
        <v xml:space="preserve"> - </v>
      </c>
      <c r="J9" s="404" t="str">
        <f>IF(ISNUMBER(I9/B9),I9/B9," - ")</f>
        <v xml:space="preserve"> - </v>
      </c>
      <c r="K9" s="405" t="str">
        <f>IF(ISNUMBER(Datos!EO9),Datos!EO9," - ")</f>
        <v xml:space="preserve"> - </v>
      </c>
      <c r="L9" s="1103" t="e">
        <f>K9*factor_trimestre/Datos!ER9</f>
        <v>#VALUE!</v>
      </c>
      <c r="M9" s="405" t="str">
        <f>IF(ISNUMBER(Datos!EP9),Datos!EP9," - ")</f>
        <v xml:space="preserve"> - </v>
      </c>
      <c r="N9" s="405" t="str">
        <f>IF(ISNUMBER(Datos!EQ9),Datos!EQ9," - ")</f>
        <v xml:space="preserve"> - </v>
      </c>
      <c r="BQ9" s="1186">
        <f>Datos!EZ9</f>
        <v>0</v>
      </c>
    </row>
    <row r="10" spans="1:69">
      <c r="A10" s="402" t="str">
        <f>Datos!A10</f>
        <v>Jdos. Violencia contra la mujer</v>
      </c>
      <c r="B10" s="403">
        <f>Datos!AO10</f>
        <v>1</v>
      </c>
      <c r="C10" s="403">
        <f>IF(ISNUMBER(Datos!I10),Datos!I10," - ")</f>
        <v>17</v>
      </c>
      <c r="D10" s="404">
        <f>IF(ISNUMBER(C10/Datos!BH10),C10/Datos!BH10," - ")</f>
        <v>17</v>
      </c>
      <c r="E10" s="403">
        <f>IF(ISNUMBER(Datos!J10),Datos!J10," - ")</f>
        <v>2</v>
      </c>
      <c r="F10" s="404">
        <f>IF(ISNUMBER(E10/B10),E10/B10," - ")</f>
        <v>2</v>
      </c>
      <c r="G10" s="403">
        <f>IF(ISNUMBER(Datos!K10),Datos!K10," - ")</f>
        <v>2</v>
      </c>
      <c r="H10" s="404">
        <f>IF(ISNUMBER(G10/B10),G10/B10," - ")</f>
        <v>2</v>
      </c>
      <c r="I10" s="403">
        <f>IF(ISNUMBER(Datos!L10),Datos!L10," - ")</f>
        <v>17</v>
      </c>
      <c r="J10" s="404">
        <f>IF(ISNUMBER(I10/B10),I10/B10," - ")</f>
        <v>17</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c r="BQ10" s="1186">
        <f>Datos!EZ10</f>
        <v>0</v>
      </c>
    </row>
    <row r="11" spans="1:69">
      <c r="A11" s="402" t="str">
        <f>Datos!A11</f>
        <v xml:space="preserve">Jdos. Familia                                   </v>
      </c>
      <c r="B11" s="403">
        <f>Datos!AO11</f>
        <v>0</v>
      </c>
      <c r="C11" s="403" t="str">
        <f>IF(ISNUMBER(IF(J_V="SI",Datos!I11,Datos!I11+Datos!Y11)),IF(J_V="SI",Datos!I11,Datos!I11+Datos!Y11)," - ")</f>
        <v xml:space="preserve"> - </v>
      </c>
      <c r="D11" s="404" t="str">
        <f>IF(ISNUMBER(C11/Datos!BH11),C11/Datos!BH11," - ")</f>
        <v xml:space="preserve"> - </v>
      </c>
      <c r="E11" s="403" t="str">
        <f>IF(ISNUMBER(IF(J_V="SI",Datos!J11,Datos!J11+Datos!Z11)),IF(J_V="SI",Datos!J11,Datos!J11+Datos!Z11)," - ")</f>
        <v xml:space="preserve"> - </v>
      </c>
      <c r="F11" s="404" t="str">
        <f>IF(ISNUMBER(E11/B11),E11/B11," - ")</f>
        <v xml:space="preserve"> - </v>
      </c>
      <c r="G11" s="403" t="str">
        <f>IF(ISNUMBER(IF(J_V="SI",Datos!K11,Datos!K11+Datos!AA11)),IF(J_V="SI",Datos!K11,Datos!K11+Datos!AA11)," - ")</f>
        <v xml:space="preserve"> - </v>
      </c>
      <c r="H11" s="404" t="str">
        <f>IF(ISNUMBER(G11/B11),G11/B11," - ")</f>
        <v xml:space="preserve"> - </v>
      </c>
      <c r="I11" s="403" t="str">
        <f>IF(ISNUMBER(IF(J_V="SI",Datos!L11,Datos!L11+Datos!AB11)),IF(J_V="SI",Datos!L11,Datos!L11+Datos!AB11)," - ")</f>
        <v xml:space="preserve"> - </v>
      </c>
      <c r="J11" s="404" t="str">
        <f>IF(ISNUMBER(I11/B11),I11/B11," - ")</f>
        <v xml:space="preserve"> - </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c r="BQ11" s="1186">
        <f>Datos!EZ11</f>
        <v>0</v>
      </c>
    </row>
    <row r="12" spans="1:69" ht="13.5" thickBot="1">
      <c r="A12" s="402" t="str">
        <f>Datos!A12</f>
        <v xml:space="preserve">Jdos. 1ª Instª. e Instr.                        </v>
      </c>
      <c r="B12" s="403">
        <f>Datos!AO12</f>
        <v>2</v>
      </c>
      <c r="C12" s="403">
        <f>IF(ISNUMBER(IF(J_V="SI",Datos!I12,Datos!I12+Datos!Y12)),IF(J_V="SI",Datos!I12,Datos!I12+Datos!Y12)," - ")</f>
        <v>2026</v>
      </c>
      <c r="D12" s="404">
        <f>IF(ISNUMBER(C12/Datos!BH12),C12/Datos!BH12," - ")</f>
        <v>1013</v>
      </c>
      <c r="E12" s="403">
        <f>IF(ISNUMBER(IF(J_V="SI",Datos!J12,Datos!J12+Datos!Z12)),IF(J_V="SI",Datos!J12,Datos!J12+Datos!Z12)," - ")</f>
        <v>403</v>
      </c>
      <c r="F12" s="404">
        <f>IF(ISNUMBER(E12/B12),E12/B12," - ")</f>
        <v>201.5</v>
      </c>
      <c r="G12" s="403">
        <f>IF(ISNUMBER(IF(J_V="SI",Datos!K12,Datos!K12+Datos!AA12)),IF(J_V="SI",Datos!K12,Datos!K12+Datos!AA12)," - ")</f>
        <v>389</v>
      </c>
      <c r="H12" s="404">
        <f>IF(ISNUMBER(G12/B12),G12/B12," - ")</f>
        <v>194.5</v>
      </c>
      <c r="I12" s="403">
        <f>IF(ISNUMBER(IF(J_V="SI",Datos!L12,Datos!L12+Datos!AB12)),IF(J_V="SI",Datos!L12,Datos!L12+Datos!AB12)," - ")</f>
        <v>2040</v>
      </c>
      <c r="J12" s="404">
        <f>IF(ISNUMBER(I12/B12),I12/B12," - ")</f>
        <v>1020</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c r="BQ12" s="1186">
        <f>Datos!EZ12</f>
        <v>0</v>
      </c>
    </row>
    <row r="13" spans="1:69" ht="14.25" thickTop="1" thickBot="1">
      <c r="A13" s="848" t="str">
        <f>Datos!A13</f>
        <v>TOTAL</v>
      </c>
      <c r="B13" s="849">
        <f>Datos!AP13</f>
        <v>2</v>
      </c>
      <c r="C13" s="849">
        <f>SUBTOTAL(9,C8:C12)</f>
        <v>2043</v>
      </c>
      <c r="D13" s="850" t="str">
        <f>IF(ISNUMBER(C13/Datos!BI13),C13/Datos!BI13," - ")</f>
        <v xml:space="preserve"> - </v>
      </c>
      <c r="E13" s="849">
        <f>SUBTOTAL(9,E8:E12)</f>
        <v>405</v>
      </c>
      <c r="F13" s="850">
        <f>IF(ISNUMBER(E13/B13),E13/B13," - ")</f>
        <v>202.5</v>
      </c>
      <c r="G13" s="849">
        <f>SUBTOTAL(9,G8:G12)</f>
        <v>391</v>
      </c>
      <c r="H13" s="850">
        <f>IF(ISNUMBER(G13/B13),G13/B13," - ")</f>
        <v>195.5</v>
      </c>
      <c r="I13" s="849">
        <f>SUBTOTAL(9,I8:I12)</f>
        <v>2057</v>
      </c>
      <c r="J13" s="850">
        <f>IF(ISNUMBER(I13/B13),I13/B13," - ")</f>
        <v>1028.5</v>
      </c>
      <c r="K13" s="848">
        <f t="shared" ref="K13" si="0">SUBTOTAL(9,K8:K12)</f>
        <v>0</v>
      </c>
      <c r="L13" s="1102"/>
      <c r="M13" s="848">
        <f>SUBTOTAL(9,M8:M12)</f>
        <v>0</v>
      </c>
      <c r="N13" s="848">
        <f>SUBTOTAL(9,N8:N12)</f>
        <v>0</v>
      </c>
      <c r="BQ13" s="1186"/>
    </row>
    <row r="14" spans="1:69" ht="13.5" thickTop="1">
      <c r="A14" s="396" t="str">
        <f>Datos!A14</f>
        <v xml:space="preserve">Jurisdicción Penal ( 2 ):                      </v>
      </c>
      <c r="B14" s="406"/>
      <c r="C14" s="406"/>
      <c r="D14" s="407"/>
      <c r="E14" s="406"/>
      <c r="F14" s="407"/>
      <c r="G14" s="406"/>
      <c r="H14" s="407"/>
      <c r="I14" s="406"/>
      <c r="J14" s="407"/>
      <c r="K14" s="406"/>
      <c r="L14" s="1103"/>
      <c r="M14" s="408"/>
      <c r="N14" s="409"/>
      <c r="BQ14" s="1186">
        <f>Datos!EZ14</f>
        <v>0</v>
      </c>
    </row>
    <row r="15" spans="1:69">
      <c r="A15" s="402" t="str">
        <f>Datos!A15</f>
        <v xml:space="preserve">Jdos. Instrucción                               </v>
      </c>
      <c r="B15" s="403">
        <f>Datos!AO15</f>
        <v>0</v>
      </c>
      <c r="C15" s="403" t="str">
        <f>IF(ISNUMBER(IF(D_I="SI",Datos!I15,Datos!I15+Datos!AC15)),IF(D_I="SI",Datos!I15,Datos!I15+Datos!AC15)," - ")</f>
        <v xml:space="preserve"> - </v>
      </c>
      <c r="D15" s="404" t="str">
        <f>IF(ISNUMBER(C15/Datos!BH15),C15/Datos!BH15," - ")</f>
        <v xml:space="preserve"> - </v>
      </c>
      <c r="E15" s="403" t="str">
        <f>IF(ISNUMBER(IF(D_I="SI",Datos!J15,Datos!J15+Datos!AD15)),IF(D_I="SI",Datos!J15,Datos!J15+Datos!AD15)," - ")</f>
        <v xml:space="preserve"> - </v>
      </c>
      <c r="F15" s="404" t="str">
        <f>IF(ISNUMBER(E15/B15),E15/B15," - ")</f>
        <v xml:space="preserve"> - </v>
      </c>
      <c r="G15" s="403" t="str">
        <f>IF(ISNUMBER(IF(D_I="SI",Datos!K15,Datos!K15+Datos!AE15)),IF(D_I="SI",Datos!K15,Datos!K15+Datos!AE15)," - ")</f>
        <v xml:space="preserve"> - </v>
      </c>
      <c r="H15" s="404" t="str">
        <f>IF(ISNUMBER(G15/B15),G15/B15," - ")</f>
        <v xml:space="preserve"> - </v>
      </c>
      <c r="I15" s="403" t="str">
        <f>IF(ISNUMBER(IF(D_I="SI",Datos!L15,Datos!L15+Datos!AF15)),IF(D_I="SI",Datos!L15,Datos!L15+Datos!AF15)," - ")</f>
        <v xml:space="preserve"> - </v>
      </c>
      <c r="J15" s="404" t="str">
        <f>IF(ISNUMBER(I15/B15),I15/B15," - ")</f>
        <v xml:space="preserve"> - </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c r="BQ15" s="1186">
        <f>Datos!EZ15</f>
        <v>0</v>
      </c>
    </row>
    <row r="16" spans="1:69">
      <c r="A16" s="402" t="str">
        <f>Datos!A16</f>
        <v xml:space="preserve">Jdos. 1ª Instª. e Instr.                        </v>
      </c>
      <c r="B16" s="403">
        <f>Datos!AO16</f>
        <v>2</v>
      </c>
      <c r="C16" s="403">
        <f>IF(ISNUMBER(IF(D_I="SI",Datos!I16,Datos!I16+Datos!AC16)),IF(D_I="SI",Datos!I16,Datos!I16+Datos!AC16)," - ")</f>
        <v>1352</v>
      </c>
      <c r="D16" s="404">
        <f>IF(ISNUMBER(C16/Datos!BH16),C16/Datos!BH16," - ")</f>
        <v>676</v>
      </c>
      <c r="E16" s="403">
        <f>IF(ISNUMBER(IF(D_I="SI",Datos!J16,Datos!J16+Datos!AD16)),IF(D_I="SI",Datos!J16,Datos!J16+Datos!AD16)," - ")</f>
        <v>344</v>
      </c>
      <c r="F16" s="404">
        <f>IF(ISNUMBER(E16/B16),E16/B16," - ")</f>
        <v>172</v>
      </c>
      <c r="G16" s="403">
        <f>IF(ISNUMBER(IF(D_I="SI",Datos!K16,Datos!K16+Datos!AE16)),IF(D_I="SI",Datos!K16,Datos!K16+Datos!AE16)," - ")</f>
        <v>354</v>
      </c>
      <c r="H16" s="404">
        <f>IF(ISNUMBER(G16/B16),G16/B16," - ")</f>
        <v>177</v>
      </c>
      <c r="I16" s="403">
        <f>IF(ISNUMBER(IF(D_I="SI",Datos!L16,Datos!L16+Datos!AF16)),IF(D_I="SI",Datos!L16,Datos!L16+Datos!AF16)," - ")</f>
        <v>1342</v>
      </c>
      <c r="J16" s="404">
        <f>IF(ISNUMBER(I16/B16),I16/B16," - ")</f>
        <v>671</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c r="BQ16" s="1186">
        <f>Datos!EZ16</f>
        <v>0</v>
      </c>
    </row>
    <row r="17" spans="1:69" ht="13.5" thickBot="1">
      <c r="A17" s="402" t="str">
        <f>Datos!A17</f>
        <v>Jdos. Violencia contra la mujer</v>
      </c>
      <c r="B17" s="403">
        <f>Datos!AO17</f>
        <v>1</v>
      </c>
      <c r="C17" s="403">
        <f>IF(ISNUMBER(IF(D_I="SI",Datos!I17,Datos!I17+Datos!AC17)),IF(D_I="SI",Datos!I17,Datos!I17+Datos!AC17)," - ")</f>
        <v>46</v>
      </c>
      <c r="D17" s="404">
        <f>IF(ISNUMBER(C17/Datos!BH17),C17/Datos!BH17," - ")</f>
        <v>46</v>
      </c>
      <c r="E17" s="403">
        <f>IF(ISNUMBER(IF(D_I="SI",Datos!J17,Datos!J17+Datos!AD17)),IF(D_I="SI",Datos!J17,Datos!J17+Datos!AD17)," - ")</f>
        <v>31</v>
      </c>
      <c r="F17" s="404">
        <f>IF(ISNUMBER(E17/B17),E17/B17," - ")</f>
        <v>31</v>
      </c>
      <c r="G17" s="403">
        <f>IF(ISNUMBER(IF(D_I="SI",Datos!K17,Datos!K17+Datos!AE17)),IF(D_I="SI",Datos!K17,Datos!K17+Datos!AE17)," - ")</f>
        <v>25</v>
      </c>
      <c r="H17" s="404">
        <f>IF(ISNUMBER(G17/B17),G17/B17," - ")</f>
        <v>25</v>
      </c>
      <c r="I17" s="403">
        <f>IF(ISNUMBER(IF(D_I="SI",Datos!L17,Datos!L17+Datos!AF17)),IF(D_I="SI",Datos!L17,Datos!L17+Datos!AF17)," - ")</f>
        <v>52</v>
      </c>
      <c r="J17" s="404">
        <f>IF(ISNUMBER(I17/B17),I17/B17," - ")</f>
        <v>52</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c r="BQ17" s="1186">
        <f>Datos!EZ17</f>
        <v>0</v>
      </c>
    </row>
    <row r="18" spans="1:69" ht="14.25" thickTop="1" thickBot="1">
      <c r="A18" s="848" t="str">
        <f>Datos!A18</f>
        <v>TOTAL</v>
      </c>
      <c r="B18" s="849">
        <f>Datos!AP18</f>
        <v>2</v>
      </c>
      <c r="C18" s="849">
        <f>SUBTOTAL(9,C14:C17)</f>
        <v>1398</v>
      </c>
      <c r="D18" s="850" t="str">
        <f>IF(ISNUMBER(C18/Datos!BI18),C18/Datos!BI18," - ")</f>
        <v xml:space="preserve"> - </v>
      </c>
      <c r="E18" s="849">
        <f>SUBTOTAL(9,E14:E17)</f>
        <v>375</v>
      </c>
      <c r="F18" s="850">
        <f>IF(ISNUMBER(E18/B18),E18/B18," - ")</f>
        <v>187.5</v>
      </c>
      <c r="G18" s="849">
        <f>SUBTOTAL(9,G14:G17)</f>
        <v>379</v>
      </c>
      <c r="H18" s="850">
        <f>IF(ISNUMBER(G18/B18),G18/B18," - ")</f>
        <v>189.5</v>
      </c>
      <c r="I18" s="849">
        <f>SUBTOTAL(9,I14:I17)</f>
        <v>1394</v>
      </c>
      <c r="J18" s="850">
        <f>IF(ISNUMBER(I18/B18),I18/B18," - ")</f>
        <v>697</v>
      </c>
      <c r="K18" s="848">
        <f t="shared" ref="K18" si="1">SUBTOTAL(9,K14:K17)</f>
        <v>0</v>
      </c>
      <c r="L18" s="848"/>
      <c r="M18" s="848">
        <f>SUBTOTAL(9,M14:M17)</f>
        <v>0</v>
      </c>
      <c r="N18" s="848">
        <f>SUBTOTAL(9,N14:N17)</f>
        <v>0</v>
      </c>
      <c r="BQ18" s="1186"/>
    </row>
    <row r="19" spans="1:69" ht="16.5" customHeight="1" thickTop="1" thickBot="1">
      <c r="A19" s="793" t="str">
        <f>Datos!A19</f>
        <v>TOTAL JURISDICCIONES</v>
      </c>
      <c r="B19" s="794">
        <f>Datos!AP19</f>
        <v>2</v>
      </c>
      <c r="C19" s="794">
        <f>SUBTOTAL(9,C9:C18)</f>
        <v>3441</v>
      </c>
      <c r="D19" s="795" t="str">
        <f>IF(ISNUMBER(C19/Datos!BI19),C19/Datos!BI19," - ")</f>
        <v xml:space="preserve"> - </v>
      </c>
      <c r="E19" s="794">
        <f>SUBTOTAL(9,E9:E18)</f>
        <v>780</v>
      </c>
      <c r="F19" s="795">
        <f>IF(ISNUMBER(E19/B19),E19/B19," - ")</f>
        <v>390</v>
      </c>
      <c r="G19" s="794">
        <f>SUBTOTAL(9,G9:G18)</f>
        <v>770</v>
      </c>
      <c r="H19" s="795">
        <f>IF(ISNUMBER(G19/B19),G19/B19," - ")</f>
        <v>385</v>
      </c>
      <c r="I19" s="794">
        <f>SUBTOTAL(9,I9:I18)</f>
        <v>3451</v>
      </c>
      <c r="J19" s="795">
        <f>IF(ISNUMBER(I19/B19),I19/B19," - ")</f>
        <v>1725.5</v>
      </c>
      <c r="K19" s="796">
        <f t="shared" ref="K19" si="2">SUBTOTAL(9,K9:K18)</f>
        <v>0</v>
      </c>
      <c r="L19" s="796"/>
      <c r="M19" s="796">
        <f>SUBTOTAL(9,M9:M18)</f>
        <v>0</v>
      </c>
      <c r="N19" s="796">
        <f>SUBTOTAL(9,N9:N18)</f>
        <v>0</v>
      </c>
    </row>
    <row r="20" spans="1:69">
      <c r="A20" s="411" t="str">
        <f>IF(J_V="NO","(1) Incluida Jurisdicción Voluntaria","(1) Excluída Jurisdicción Voluntaria")</f>
        <v>(1) Incluida Jurisdicción Voluntaria</v>
      </c>
      <c r="B20" s="412"/>
    </row>
    <row r="21" spans="1:69">
      <c r="A21" s="411" t="str">
        <f>IF(D_I="NO","(2) Incluídas Diligencias Indeterminadas","(2) Excluídas Diligencias Indeterminadas")</f>
        <v>(2) Excluídas Diligencias Indeterminadas</v>
      </c>
      <c r="B21" s="411"/>
    </row>
    <row r="22" spans="1:69">
      <c r="A22" s="1197"/>
      <c r="B22" s="1197"/>
    </row>
    <row r="23" spans="1:69">
      <c r="A23" s="391" t="str">
        <f>Criterios!A4</f>
        <v>Fecha Informe: 29 nov. 2024</v>
      </c>
    </row>
    <row r="27" spans="1:69">
      <c r="A27" s="414"/>
    </row>
  </sheetData>
  <sheetProtection algorithmName="SHA-512" hashValue="3jr1pq1bqcySD1AFKKHpN5zGvkJkmcl1iWkLHKlH3Fzs3652IN2WF2BwWJ17utjqP74FygTwr9XCgqZm3OCe1A==" saltValue="f0lieqZKURxvYqzFStDglg=="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ANDALUCIA</v>
      </c>
      <c r="C2" s="375"/>
      <c r="E2" s="375"/>
      <c r="F2" s="375"/>
      <c r="G2" s="375"/>
      <c r="H2" s="375"/>
    </row>
    <row r="3" spans="1:15" ht="39">
      <c r="A3" s="415" t="s">
        <v>218</v>
      </c>
      <c r="B3" s="391" t="str">
        <f>Criterios!A10 &amp;"  "&amp;Criterios!B10</f>
        <v>Provincias  HUELVA</v>
      </c>
      <c r="C3" s="415"/>
      <c r="F3" s="375"/>
      <c r="G3" s="375"/>
      <c r="H3" s="375"/>
    </row>
    <row r="4" spans="1:15" ht="13.5" thickBot="1">
      <c r="A4" s="375"/>
      <c r="B4" s="391" t="str">
        <f>Criterios!A11 &amp;"  "&amp;Criterios!B11</f>
        <v>Resumenes por Partidos Judiciales  VALVERDE DEL CAMINO</v>
      </c>
      <c r="C4" s="375"/>
      <c r="E4" s="375"/>
      <c r="F4" s="375"/>
      <c r="G4" s="375"/>
      <c r="H4" s="375"/>
    </row>
    <row r="5" spans="1:15" ht="15.75" customHeight="1">
      <c r="A5" s="1210" t="str">
        <f>"Año:  " &amp;Criterios!B5</f>
        <v>Año:  2024</v>
      </c>
      <c r="B5" s="1200" t="s">
        <v>205</v>
      </c>
      <c r="C5" s="1213"/>
      <c r="D5" s="1200" t="s">
        <v>222</v>
      </c>
      <c r="E5" s="1218"/>
      <c r="F5" s="1213"/>
      <c r="G5" s="1200" t="s">
        <v>207</v>
      </c>
      <c r="H5" s="1201"/>
      <c r="I5" s="1200" t="s">
        <v>208</v>
      </c>
      <c r="J5" s="1201"/>
      <c r="K5" s="1200" t="s">
        <v>209</v>
      </c>
      <c r="L5" s="1212"/>
      <c r="M5" s="1213"/>
    </row>
    <row r="6" spans="1:15" ht="21.75" customHeight="1" thickBot="1">
      <c r="A6" s="1211"/>
      <c r="B6" s="1216"/>
      <c r="C6" s="1217"/>
      <c r="D6" s="1219"/>
      <c r="E6" s="1220"/>
      <c r="F6" s="1221"/>
      <c r="G6" s="1202"/>
      <c r="H6" s="1203"/>
      <c r="I6" s="1202"/>
      <c r="J6" s="1203"/>
      <c r="K6" s="1202"/>
      <c r="L6" s="1214"/>
      <c r="M6" s="1215"/>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0</v>
      </c>
      <c r="D9" s="403">
        <f>Datos!BK9</f>
        <v>0</v>
      </c>
      <c r="E9" s="403">
        <f>Datos!AQ9</f>
        <v>0</v>
      </c>
      <c r="F9" s="404" t="str">
        <f>IF(ISNUMBER(E9/Datos!BH9),E9/Datos!BH9," - ")</f>
        <v xml:space="preserve"> - </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0</v>
      </c>
      <c r="D10" s="403">
        <f>Datos!BK10</f>
        <v>0</v>
      </c>
      <c r="E10" s="403">
        <f>Datos!AQ10</f>
        <v>0</v>
      </c>
      <c r="F10" s="404">
        <f>IF(ISNUMBER(E10/Datos!BH10),E10/Datos!BH10," - ")</f>
        <v>0</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0</v>
      </c>
      <c r="D11" s="403">
        <f>Datos!BK11</f>
        <v>0</v>
      </c>
      <c r="E11" s="403">
        <f>Datos!AQ11</f>
        <v>0</v>
      </c>
      <c r="F11" s="404" t="str">
        <f>IF(ISNUMBER(E11/Datos!BH11),E11/Datos!BH11," - ")</f>
        <v xml:space="preserve"> - </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2</v>
      </c>
      <c r="D12" s="403">
        <f>Datos!BK12</f>
        <v>0</v>
      </c>
      <c r="E12" s="403">
        <f>Datos!AQ12</f>
        <v>2</v>
      </c>
      <c r="F12" s="404">
        <f>IF(ISNUMBER(E12/Datos!BH12),E12/Datos!BH12," - ")</f>
        <v>1</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0</v>
      </c>
      <c r="D15" s="403">
        <f>Datos!BK15</f>
        <v>0</v>
      </c>
      <c r="E15" s="403">
        <f>Datos!AQ15</f>
        <v>0</v>
      </c>
      <c r="F15" s="404" t="str">
        <f>IF(ISNUMBER(E15/Datos!BH15),E15/Datos!BH15," - ")</f>
        <v xml:space="preserve"> - </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2</v>
      </c>
      <c r="D16" s="403">
        <f>Datos!BK16</f>
        <v>0</v>
      </c>
      <c r="E16" s="403">
        <f>Datos!AQ16</f>
        <v>2</v>
      </c>
      <c r="F16" s="404">
        <f>IF(ISNUMBER(E16/Datos!BH16),E16/Datos!BH16," - ")</f>
        <v>1</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0</v>
      </c>
      <c r="D17" s="403">
        <f>Datos!BK17</f>
        <v>0</v>
      </c>
      <c r="E17" s="403">
        <f>Datos!AQ17</f>
        <v>0</v>
      </c>
      <c r="F17" s="404">
        <f>IF(ISNUMBER(E17/Datos!BH17),E17/Datos!BH17," - ")</f>
        <v>0</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7"/>
      <c r="B22" s="1197"/>
      <c r="C22" s="1197"/>
      <c r="D22" s="1197"/>
    </row>
    <row r="23" spans="1:13">
      <c r="A23" s="391" t="str">
        <f>Criterios!A4</f>
        <v>Fecha Informe: 29 nov. 2024</v>
      </c>
      <c r="B23" s="391"/>
      <c r="C23" s="391"/>
    </row>
    <row r="27" spans="1:13">
      <c r="A27" s="414"/>
      <c r="B27" s="414"/>
      <c r="C27" s="414"/>
    </row>
  </sheetData>
  <sheetProtection algorithmName="SHA-512" hashValue="3tRAP1wnQddQzWSBxIov6Xgad65sv91gMVaMSQ+D8dFyVh1LtBMqcIB6QZzazy5g2bNjuAPSyu7L1RPnENmNiQ==" saltValue="ITG0Dg26MYX8zIx8jvF95A=="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BZ27"/>
  <sheetViews>
    <sheetView zoomScale="85" zoomScaleNormal="85" workbookViewId="0">
      <selection activeCell="B66" sqref="B66"/>
    </sheetView>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77" width="11.42578125" style="372"/>
    <col min="78" max="78" width="0" style="1026" hidden="1" customWidth="1"/>
    <col min="79" max="16384" width="11.42578125" style="372"/>
  </cols>
  <sheetData>
    <row r="1" spans="1:78" ht="105" customHeight="1">
      <c r="G1" s="424"/>
    </row>
    <row r="2" spans="1:78" ht="18.75" customHeight="1">
      <c r="B2" s="389" t="str">
        <f>Criterios!A9 &amp;"  "&amp;Criterios!B9</f>
        <v>Tribunales de Justicia  ANDALUCIA</v>
      </c>
      <c r="C2" s="391"/>
    </row>
    <row r="3" spans="1:78" ht="19.5">
      <c r="A3" s="425" t="s">
        <v>11</v>
      </c>
      <c r="B3" s="391" t="str">
        <f>Criterios!A10 &amp;"  "&amp;Criterios!B10</f>
        <v>Provincias  HUELVA</v>
      </c>
      <c r="C3" s="391"/>
      <c r="D3" s="425"/>
      <c r="BZ3" s="471"/>
    </row>
    <row r="4" spans="1:78" ht="13.5" thickBot="1">
      <c r="B4" s="391" t="str">
        <f>Criterios!A11 &amp;"  "&amp;Criterios!B11</f>
        <v>Resumenes por Partidos Judiciales  VALVERDE DEL CAMINO</v>
      </c>
      <c r="BZ4" s="471"/>
    </row>
    <row r="5" spans="1:78" ht="15.75" customHeight="1">
      <c r="A5" s="1210" t="str">
        <f>"Año:  " &amp;Criterios!B5 &amp; "                  Trimestre   " &amp;Criterios!D5 &amp; " al " &amp;Criterios!D6</f>
        <v>Año:  2024                  Trimestre   3 al 3</v>
      </c>
      <c r="B5" s="1222" t="s">
        <v>116</v>
      </c>
      <c r="C5" s="1222" t="s">
        <v>123</v>
      </c>
      <c r="D5" s="1200" t="s">
        <v>86</v>
      </c>
      <c r="E5" s="1201"/>
      <c r="F5" s="1200" t="s">
        <v>87</v>
      </c>
      <c r="G5" s="1205"/>
      <c r="H5" s="1200" t="s">
        <v>232</v>
      </c>
      <c r="I5" s="1205"/>
      <c r="BZ5" s="471"/>
    </row>
    <row r="6" spans="1:78" ht="14.25" customHeight="1" thickBot="1">
      <c r="A6" s="1211"/>
      <c r="B6" s="1223"/>
      <c r="C6" s="1223"/>
      <c r="D6" s="1202"/>
      <c r="E6" s="1203"/>
      <c r="F6" s="1202"/>
      <c r="G6" s="1206"/>
      <c r="H6" s="1202"/>
      <c r="I6" s="1206"/>
      <c r="BZ6" s="471"/>
    </row>
    <row r="7" spans="1:78" ht="46.5" customHeight="1" thickTop="1" thickBot="1">
      <c r="A7" s="392" t="str">
        <f>Datos!A7</f>
        <v>COMPETENCIAS</v>
      </c>
      <c r="B7" s="416" t="s">
        <v>117</v>
      </c>
      <c r="C7" s="416" t="s">
        <v>117</v>
      </c>
      <c r="D7" s="394" t="s">
        <v>93</v>
      </c>
      <c r="E7" s="395" t="s">
        <v>6</v>
      </c>
      <c r="F7" s="394" t="s">
        <v>94</v>
      </c>
      <c r="G7" s="395" t="s">
        <v>6</v>
      </c>
      <c r="H7" s="394" t="s">
        <v>233</v>
      </c>
      <c r="I7" s="395" t="s">
        <v>6</v>
      </c>
      <c r="BZ7" s="471"/>
    </row>
    <row r="8" spans="1:78">
      <c r="A8" s="396" t="str">
        <f>Datos!A8</f>
        <v>Jurisdicción Civil ( 1 ):</v>
      </c>
      <c r="B8" s="426"/>
      <c r="C8" s="400"/>
      <c r="D8" s="398"/>
      <c r="E8" s="400"/>
      <c r="F8" s="398"/>
      <c r="G8" s="399"/>
      <c r="H8" s="398"/>
      <c r="I8" s="399"/>
    </row>
    <row r="9" spans="1:78">
      <c r="A9" s="402" t="str">
        <f>Datos!A9</f>
        <v xml:space="preserve">Jdos. 1ª Instancia   </v>
      </c>
      <c r="B9" s="427">
        <f>Datos!AO9</f>
        <v>0</v>
      </c>
      <c r="C9" s="410">
        <f>Datos!AQ9</f>
        <v>0</v>
      </c>
      <c r="D9" s="403" t="str">
        <f>IF(ISNUMBER(Datos!M9),Datos!M9," - ")</f>
        <v xml:space="preserve"> - </v>
      </c>
      <c r="E9" s="404" t="str">
        <f t="shared" ref="E9:E13" si="0">IF(ISNUMBER(D9/B9),D9/B9," - ")</f>
        <v xml:space="preserve"> - </v>
      </c>
      <c r="F9" s="403" t="str">
        <f>IF(ISNUMBER(Datos!N9),Datos!N9," - ")</f>
        <v xml:space="preserve"> - </v>
      </c>
      <c r="G9" s="404" t="str">
        <f t="shared" ref="G9:G13" si="1">IF(ISNUMBER(F9/B9),F9/B9," - ")</f>
        <v xml:space="preserve"> - </v>
      </c>
      <c r="H9" s="403" t="str">
        <f>IF(ISNUMBER(Datos!O9),Datos!O9," - ")</f>
        <v xml:space="preserve"> - </v>
      </c>
      <c r="I9" s="404" t="str">
        <f>IF(ISNUMBER(H9/B9),H9/B9," - ")</f>
        <v xml:space="preserve"> - </v>
      </c>
      <c r="BZ9" s="1186">
        <f>Datos!EZ9</f>
        <v>0</v>
      </c>
    </row>
    <row r="10" spans="1:78">
      <c r="A10" s="402" t="str">
        <f>Datos!A10</f>
        <v>Jdos. Violencia contra la mujer</v>
      </c>
      <c r="B10" s="427">
        <f>Datos!AO10</f>
        <v>1</v>
      </c>
      <c r="C10" s="410">
        <f>Datos!AQ10</f>
        <v>0</v>
      </c>
      <c r="D10" s="403">
        <f>IF(ISNUMBER(Datos!M10),Datos!M10," - ")</f>
        <v>1</v>
      </c>
      <c r="E10" s="404">
        <f>IF(ISNUMBER(D10/B10),D10/B10," - ")</f>
        <v>1</v>
      </c>
      <c r="F10" s="403">
        <f>IF(ISNUMBER(Datos!N10),Datos!N10," - ")</f>
        <v>1</v>
      </c>
      <c r="G10" s="404">
        <f>IF(ISNUMBER(F10/B10),F10/B10," - ")</f>
        <v>1</v>
      </c>
      <c r="H10" s="403">
        <f>IF(ISNUMBER(Datos!O10),Datos!O10," - ")</f>
        <v>0</v>
      </c>
      <c r="I10" s="404">
        <f t="shared" ref="I10:I12" si="2">IF(ISNUMBER(H10/B10),H10/B10," - ")</f>
        <v>0</v>
      </c>
      <c r="BZ10" s="1186">
        <f>Datos!EZ10</f>
        <v>0</v>
      </c>
    </row>
    <row r="11" spans="1:78">
      <c r="A11" s="402" t="str">
        <f>Datos!A11</f>
        <v xml:space="preserve">Jdos. Familia                                   </v>
      </c>
      <c r="B11" s="427">
        <f>Datos!AO11</f>
        <v>0</v>
      </c>
      <c r="C11" s="410">
        <f>Datos!AQ11</f>
        <v>0</v>
      </c>
      <c r="D11" s="403" t="str">
        <f>IF(ISNUMBER(Datos!M11),Datos!M11," - ")</f>
        <v xml:space="preserve"> - </v>
      </c>
      <c r="E11" s="404" t="str">
        <f t="shared" si="0"/>
        <v xml:space="preserve"> - </v>
      </c>
      <c r="F11" s="403" t="str">
        <f>IF(ISNUMBER(Datos!N11),Datos!N11," - ")</f>
        <v xml:space="preserve"> - </v>
      </c>
      <c r="G11" s="404" t="str">
        <f t="shared" si="1"/>
        <v xml:space="preserve"> - </v>
      </c>
      <c r="H11" s="403" t="str">
        <f>IF(ISNUMBER(Datos!O11),Datos!O11," - ")</f>
        <v xml:space="preserve"> - </v>
      </c>
      <c r="I11" s="404" t="str">
        <f t="shared" si="2"/>
        <v xml:space="preserve"> - </v>
      </c>
      <c r="BZ11" s="1186">
        <f>Datos!EZ11</f>
        <v>0</v>
      </c>
    </row>
    <row r="12" spans="1:78" ht="13.5" thickBot="1">
      <c r="A12" s="402" t="str">
        <f>Datos!A12</f>
        <v xml:space="preserve">Jdos. 1ª Instª. e Instr.                        </v>
      </c>
      <c r="B12" s="427">
        <f>Datos!AO12</f>
        <v>2</v>
      </c>
      <c r="C12" s="410">
        <f>Datos!AQ12</f>
        <v>2</v>
      </c>
      <c r="D12" s="403">
        <f>IF(ISNUMBER(Datos!M12),Datos!M12," - ")</f>
        <v>87</v>
      </c>
      <c r="E12" s="404">
        <f t="shared" si="0"/>
        <v>43.5</v>
      </c>
      <c r="F12" s="403">
        <f>IF(ISNUMBER(Datos!N12),Datos!N12," - ")</f>
        <v>153</v>
      </c>
      <c r="G12" s="404">
        <f t="shared" si="1"/>
        <v>76.5</v>
      </c>
      <c r="H12" s="403">
        <f>IF(ISNUMBER(Datos!O12),Datos!O12," - ")</f>
        <v>155</v>
      </c>
      <c r="I12" s="404">
        <f t="shared" si="2"/>
        <v>77.5</v>
      </c>
      <c r="BZ12" s="1186">
        <f>Datos!EZ12</f>
        <v>0</v>
      </c>
    </row>
    <row r="13" spans="1:78" ht="14.25" thickTop="1" thickBot="1">
      <c r="A13" s="848" t="str">
        <f>Datos!A13</f>
        <v>TOTAL</v>
      </c>
      <c r="B13" s="849">
        <f>Datos!AP13</f>
        <v>2</v>
      </c>
      <c r="C13" s="851">
        <f>Datos!AR13</f>
        <v>2</v>
      </c>
      <c r="D13" s="849">
        <f>SUBTOTAL(9,D9:D12)</f>
        <v>88</v>
      </c>
      <c r="E13" s="850">
        <f t="shared" si="0"/>
        <v>44</v>
      </c>
      <c r="F13" s="849">
        <f>SUBTOTAL(9,F9:F12)</f>
        <v>154</v>
      </c>
      <c r="G13" s="850">
        <f t="shared" si="1"/>
        <v>77</v>
      </c>
      <c r="H13" s="849">
        <f>SUBTOTAL(9,H9:H12)</f>
        <v>155</v>
      </c>
      <c r="I13" s="850">
        <f>IF(ISNUMBER(H13/B13),H13/B13," - ")</f>
        <v>77.5</v>
      </c>
      <c r="BZ13" s="1186"/>
    </row>
    <row r="14" spans="1:78" ht="13.5" thickTop="1">
      <c r="A14" s="396" t="str">
        <f>Datos!A14</f>
        <v xml:space="preserve">Jurisdicción Penal ( 2 ):                      </v>
      </c>
      <c r="B14" s="427">
        <f>Datos!AO14</f>
        <v>0</v>
      </c>
      <c r="C14" s="408"/>
      <c r="D14" s="406"/>
      <c r="E14" s="407"/>
      <c r="F14" s="406"/>
      <c r="G14" s="407"/>
      <c r="H14" s="406"/>
      <c r="I14" s="407"/>
      <c r="BZ14" s="1186">
        <f>Datos!EZ14</f>
        <v>0</v>
      </c>
    </row>
    <row r="15" spans="1:78">
      <c r="A15" s="402" t="str">
        <f>Datos!A15</f>
        <v xml:space="preserve">Jdos. Instrucción                               </v>
      </c>
      <c r="B15" s="427">
        <f>Datos!AO15</f>
        <v>0</v>
      </c>
      <c r="C15" s="428">
        <f>Datos!AQ15</f>
        <v>0</v>
      </c>
      <c r="D15" s="403" t="str">
        <f>IF(ISNUMBER(Datos!M15),Datos!M15," - ")</f>
        <v xml:space="preserve"> - </v>
      </c>
      <c r="E15" s="404" t="str">
        <f t="shared" ref="E15:E18" si="3">IF(ISNUMBER(D15/B15),D15/B15," - ")</f>
        <v xml:space="preserve"> - </v>
      </c>
      <c r="F15" s="403" t="str">
        <f>IF(ISNUMBER(Datos!N15),Datos!N15," - ")</f>
        <v xml:space="preserve"> - </v>
      </c>
      <c r="G15" s="404" t="str">
        <f t="shared" ref="G15:G18" si="4">IF(ISNUMBER(F15/B15),F15/B15," - ")</f>
        <v xml:space="preserve"> - </v>
      </c>
      <c r="H15" s="403" t="str">
        <f>IF(ISNUMBER(Datos!O15),Datos!O15," - ")</f>
        <v xml:space="preserve"> - </v>
      </c>
      <c r="I15" s="404" t="str">
        <f t="shared" ref="I15:I17" si="5">IF(ISNUMBER(H15/B15),H15/B15," - ")</f>
        <v xml:space="preserve"> - </v>
      </c>
      <c r="BZ15" s="1186">
        <f>Datos!EZ15</f>
        <v>0</v>
      </c>
    </row>
    <row r="16" spans="1:78">
      <c r="A16" s="402" t="str">
        <f>Datos!A16</f>
        <v xml:space="preserve">Jdos. 1ª Instª. e Instr.                        </v>
      </c>
      <c r="B16" s="427">
        <f>Datos!AO16</f>
        <v>2</v>
      </c>
      <c r="C16" s="428">
        <f>Datos!AQ16</f>
        <v>2</v>
      </c>
      <c r="D16" s="403">
        <f>IF(ISNUMBER(Datos!M16),Datos!M16," - ")</f>
        <v>62</v>
      </c>
      <c r="E16" s="404">
        <f t="shared" si="3"/>
        <v>31</v>
      </c>
      <c r="F16" s="403">
        <f>IF(ISNUMBER(Datos!N16),Datos!N16," - ")</f>
        <v>227</v>
      </c>
      <c r="G16" s="404">
        <f t="shared" si="4"/>
        <v>113.5</v>
      </c>
      <c r="H16" s="403">
        <f>IF(ISNUMBER(Datos!O16),Datos!O16," - ")</f>
        <v>9</v>
      </c>
      <c r="I16" s="404">
        <f t="shared" si="5"/>
        <v>4.5</v>
      </c>
      <c r="BZ16" s="1186">
        <f>Datos!EZ16</f>
        <v>0</v>
      </c>
    </row>
    <row r="17" spans="1:78" ht="13.5" thickBot="1">
      <c r="A17" s="402" t="str">
        <f>Datos!A17</f>
        <v>Jdos. Violencia contra la mujer</v>
      </c>
      <c r="B17" s="427">
        <f>Datos!AO17</f>
        <v>1</v>
      </c>
      <c r="C17" s="428">
        <f>Datos!AQ17</f>
        <v>0</v>
      </c>
      <c r="D17" s="403">
        <f>IF(ISNUMBER(Datos!M17),Datos!M17," - ")</f>
        <v>5</v>
      </c>
      <c r="E17" s="404">
        <f>IF(ISNUMBER(D17/B17),D17/B17," - ")</f>
        <v>5</v>
      </c>
      <c r="F17" s="403">
        <f>IF(ISNUMBER(Datos!N17),Datos!N17," - ")</f>
        <v>24</v>
      </c>
      <c r="G17" s="404">
        <f>IF(ISNUMBER(F17/B17),F17/B17," - ")</f>
        <v>24</v>
      </c>
      <c r="H17" s="403">
        <f>IF(ISNUMBER(Datos!O17),Datos!O17," - ")</f>
        <v>1</v>
      </c>
      <c r="I17" s="404">
        <f t="shared" si="5"/>
        <v>1</v>
      </c>
      <c r="BZ17" s="1186">
        <f>Datos!EZ17</f>
        <v>0</v>
      </c>
    </row>
    <row r="18" spans="1:78" ht="14.25" thickTop="1" thickBot="1">
      <c r="A18" s="848" t="str">
        <f>Datos!A18</f>
        <v>TOTAL</v>
      </c>
      <c r="B18" s="849">
        <f>Datos!AP18</f>
        <v>2</v>
      </c>
      <c r="C18" s="851">
        <f>Datos!AR18</f>
        <v>2</v>
      </c>
      <c r="D18" s="849">
        <f>SUBTOTAL(9,D15:D17)</f>
        <v>67</v>
      </c>
      <c r="E18" s="850">
        <f t="shared" si="3"/>
        <v>33.5</v>
      </c>
      <c r="F18" s="849">
        <f>SUBTOTAL(9,F15:F17)</f>
        <v>251</v>
      </c>
      <c r="G18" s="850">
        <f t="shared" si="4"/>
        <v>125.5</v>
      </c>
      <c r="H18" s="849">
        <f>SUBTOTAL(9,H15:H17)</f>
        <v>10</v>
      </c>
      <c r="I18" s="850">
        <f>IF(ISNUMBER(H18/B18),H18/B18," - ")</f>
        <v>5</v>
      </c>
      <c r="BZ18" s="1186"/>
    </row>
    <row r="19" spans="1:78" ht="14.25" thickTop="1" thickBot="1">
      <c r="A19" s="793" t="str">
        <f>Datos!A19</f>
        <v>TOTAL JURISDICCIONES</v>
      </c>
      <c r="B19" s="794">
        <f>Datos!AP19</f>
        <v>2</v>
      </c>
      <c r="C19" s="794">
        <f>Datos!AR19</f>
        <v>2</v>
      </c>
      <c r="D19" s="794">
        <f>SUBTOTAL(9,D8:D18)</f>
        <v>155</v>
      </c>
      <c r="E19" s="795">
        <f>IF(ISNUMBER(D19/B19),D19/B19," - ")</f>
        <v>77.5</v>
      </c>
      <c r="F19" s="794">
        <f>SUBTOTAL(9,F8:F18)</f>
        <v>405</v>
      </c>
      <c r="G19" s="795">
        <f>IF(ISNUMBER(F19/B19),F19/B19," - ")</f>
        <v>202.5</v>
      </c>
      <c r="H19" s="794">
        <f>SUBTOTAL(9,H8:H18)</f>
        <v>165</v>
      </c>
      <c r="I19" s="795">
        <f>IF(ISNUMBER(H19/B19),H19/B19," - ")</f>
        <v>82.5</v>
      </c>
    </row>
    <row r="22" spans="1:78">
      <c r="A22" s="391" t="str">
        <f>Criterios!A4</f>
        <v>Fecha Informe: 29 nov. 2024</v>
      </c>
    </row>
    <row r="27" spans="1:78">
      <c r="A27" s="414"/>
    </row>
  </sheetData>
  <sheetProtection algorithmName="SHA-512" hashValue="PZi7XPUgzLG7dtLnGsYkIUSlNLeV38VLJxWGMxpZS6ZGXm/zG4UTegwVfCS/G6ig+pMFtO9KIQyjZZ/7jQ/PKg==" saltValue="pqGG0wu7IMriQz6foFll+Q=="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ANDALUCIA</v>
      </c>
    </row>
    <row r="3" spans="1:4" ht="19.5">
      <c r="A3" s="429" t="s">
        <v>32</v>
      </c>
      <c r="B3" s="391" t="str">
        <f>Criterios!A10 &amp;"  "&amp;Criterios!B10</f>
        <v>Provincias  HUELVA</v>
      </c>
    </row>
    <row r="4" spans="1:4" ht="13.5" thickBot="1">
      <c r="B4" s="391" t="str">
        <f>Criterios!A11 &amp;"  "&amp;Criterios!B11</f>
        <v>Resumenes por Partidos Judiciales  VALVERDE DEL CAMINO</v>
      </c>
    </row>
    <row r="5" spans="1:4" ht="12.75" customHeight="1">
      <c r="A5" s="1210" t="str">
        <f>"Año:  " &amp;Criterios!B5 &amp; "                  Trimestre   " &amp;Criterios!D5 &amp; " al " &amp;Criterios!D6</f>
        <v>Año:  2024                  Trimestre   3 al 3</v>
      </c>
      <c r="B5" s="1224" t="s">
        <v>10</v>
      </c>
      <c r="C5" s="1224" t="s">
        <v>14</v>
      </c>
      <c r="D5" s="1224" t="s">
        <v>129</v>
      </c>
    </row>
    <row r="6" spans="1:4" ht="15.75" customHeight="1">
      <c r="A6" s="1211"/>
      <c r="B6" s="1225"/>
      <c r="C6" s="1225"/>
      <c r="D6" s="1225"/>
    </row>
    <row r="7" spans="1:4" ht="26.25" customHeight="1" thickBot="1">
      <c r="A7" s="392" t="str">
        <f>Datos!A7</f>
        <v>COMPETENCIAS</v>
      </c>
      <c r="B7" s="1226"/>
      <c r="C7" s="1226"/>
      <c r="D7" s="1226"/>
    </row>
    <row r="8" spans="1:4">
      <c r="A8" s="396" t="str">
        <f>Datos!A8</f>
        <v>Jurisdicción Civil ( 1 ):</v>
      </c>
      <c r="B8" s="430"/>
      <c r="C8" s="431"/>
      <c r="D8" s="432"/>
    </row>
    <row r="9" spans="1:4">
      <c r="A9" s="402" t="str">
        <f>Datos!A9</f>
        <v xml:space="preserve">Jdos. 1ª Instancia   </v>
      </c>
      <c r="B9" s="433" t="str">
        <f>IF(ISNUMBER(Datos!P9),Datos!P9," - ")</f>
        <v xml:space="preserve"> - </v>
      </c>
      <c r="C9" s="434" t="str">
        <f>IF(ISNUMBER(Datos!Q9),Datos!Q9," - ")</f>
        <v xml:space="preserve"> - </v>
      </c>
      <c r="D9" s="408" t="str">
        <f>IF(ISNUMBER(Datos!R9),Datos!R9," - ")</f>
        <v xml:space="preserve"> - </v>
      </c>
    </row>
    <row r="10" spans="1:4">
      <c r="A10" s="402" t="str">
        <f>Datos!A10</f>
        <v>Jdos. Violencia contra la mujer</v>
      </c>
      <c r="B10" s="433">
        <f>IF(ISNUMBER(Datos!P10),Datos!P10," - ")</f>
        <v>0</v>
      </c>
      <c r="C10" s="434">
        <f>IF(ISNUMBER(Datos!Q10),Datos!Q10," - ")</f>
        <v>0</v>
      </c>
      <c r="D10" s="408">
        <f>IF(ISNUMBER(Datos!R10),Datos!R10," - ")</f>
        <v>0</v>
      </c>
    </row>
    <row r="11" spans="1:4">
      <c r="A11" s="402" t="str">
        <f>Datos!A11</f>
        <v xml:space="preserve">Jdos. Familia                                   </v>
      </c>
      <c r="B11" s="433" t="str">
        <f>IF(ISNUMBER(Datos!P11),Datos!P11," - ")</f>
        <v xml:space="preserve"> - </v>
      </c>
      <c r="C11" s="434" t="str">
        <f>IF(ISNUMBER(Datos!Q11),Datos!Q11," - ")</f>
        <v xml:space="preserve"> - </v>
      </c>
      <c r="D11" s="408" t="str">
        <f>IF(ISNUMBER(Datos!R11),Datos!R11," - ")</f>
        <v xml:space="preserve"> - </v>
      </c>
    </row>
    <row r="12" spans="1:4" ht="13.5" thickBot="1">
      <c r="A12" s="402" t="str">
        <f>Datos!A12</f>
        <v xml:space="preserve">Jdos. 1ª Instª. e Instr.                        </v>
      </c>
      <c r="B12" s="433">
        <f>IF(ISNUMBER(Datos!P12),Datos!P12," - ")</f>
        <v>94</v>
      </c>
      <c r="C12" s="434">
        <f>IF(ISNUMBER(Datos!Q12),Datos!Q12," - ")</f>
        <v>47</v>
      </c>
      <c r="D12" s="408">
        <f>IF(ISNUMBER(Datos!R12),Datos!R12," - ")</f>
        <v>2053</v>
      </c>
    </row>
    <row r="13" spans="1:4" ht="14.25" thickTop="1" thickBot="1">
      <c r="A13" s="848" t="str">
        <f>Datos!A13</f>
        <v>TOTAL</v>
      </c>
      <c r="B13" s="849">
        <f>SUBTOTAL(9,B9:B12)</f>
        <v>94</v>
      </c>
      <c r="C13" s="853">
        <f>SUBTOTAL(9,C9:C12)</f>
        <v>47</v>
      </c>
      <c r="D13" s="851">
        <f>SUBTOTAL(9,D9:D12)</f>
        <v>2053</v>
      </c>
    </row>
    <row r="14" spans="1:4" ht="13.5" thickTop="1">
      <c r="A14" s="396" t="str">
        <f>Datos!A14</f>
        <v xml:space="preserve">Jurisdicción Penal ( 2 ):                      </v>
      </c>
      <c r="B14" s="406"/>
      <c r="C14" s="435"/>
      <c r="D14" s="408"/>
    </row>
    <row r="15" spans="1:4">
      <c r="A15" s="402" t="str">
        <f>Datos!A15</f>
        <v xml:space="preserve">Jdos. Instrucción                               </v>
      </c>
      <c r="B15" s="433" t="str">
        <f>IF(ISNUMBER(Datos!P15),Datos!P15," - ")</f>
        <v xml:space="preserve"> - </v>
      </c>
      <c r="C15" s="434" t="str">
        <f>IF(ISNUMBER(Datos!Q15),Datos!Q15," - ")</f>
        <v xml:space="preserve"> - </v>
      </c>
      <c r="D15" s="408" t="str">
        <f>IF(ISNUMBER(Datos!R15),Datos!R15," - ")</f>
        <v xml:space="preserve"> - </v>
      </c>
    </row>
    <row r="16" spans="1:4">
      <c r="A16" s="402" t="str">
        <f>Datos!A16</f>
        <v xml:space="preserve">Jdos. 1ª Instª. e Instr.                        </v>
      </c>
      <c r="B16" s="433">
        <f>IF(ISNUMBER(Datos!P16),Datos!P16," - ")</f>
        <v>6</v>
      </c>
      <c r="C16" s="434">
        <f>IF(ISNUMBER(Datos!Q16),Datos!Q16," - ")</f>
        <v>9</v>
      </c>
      <c r="D16" s="408">
        <f>IF(ISNUMBER(Datos!R16),Datos!R16," - ")</f>
        <v>75</v>
      </c>
    </row>
    <row r="17" spans="1:4" ht="13.5" thickBot="1">
      <c r="A17" s="402" t="str">
        <f>Datos!A17</f>
        <v>Jdos. Violencia contra la mujer</v>
      </c>
      <c r="B17" s="433">
        <f>IF(ISNUMBER(Datos!P17),Datos!P17," - ")</f>
        <v>3</v>
      </c>
      <c r="C17" s="434">
        <f>IF(ISNUMBER(Datos!Q17),Datos!Q17," - ")</f>
        <v>1</v>
      </c>
      <c r="D17" s="408">
        <f>IF(ISNUMBER(Datos!R17),Datos!R17," - ")</f>
        <v>3</v>
      </c>
    </row>
    <row r="18" spans="1:4" ht="14.25" thickTop="1" thickBot="1">
      <c r="A18" s="848" t="str">
        <f>Datos!A18</f>
        <v>TOTAL</v>
      </c>
      <c r="B18" s="849">
        <f>SUBTOTAL(9,B15:B17)</f>
        <v>9</v>
      </c>
      <c r="C18" s="853">
        <f>SUBTOTAL(9,C15:C17)</f>
        <v>10</v>
      </c>
      <c r="D18" s="851">
        <f>SUBTOTAL(9,D15:D17)</f>
        <v>78</v>
      </c>
    </row>
    <row r="19" spans="1:4" ht="16.5" customHeight="1" thickTop="1" thickBot="1">
      <c r="A19" s="793" t="str">
        <f>Datos!A19</f>
        <v>TOTAL JURISDICCIONES</v>
      </c>
      <c r="B19" s="798">
        <f>SUBTOTAL(9,B8:B18)</f>
        <v>103</v>
      </c>
      <c r="C19" s="799">
        <f>SUBTOTAL(9,C8:C18)</f>
        <v>57</v>
      </c>
      <c r="D19" s="800">
        <f>SUBTOTAL(9,D8:D18)</f>
        <v>2131</v>
      </c>
    </row>
    <row r="20" spans="1:4" ht="7.5" customHeight="1"/>
    <row r="21" spans="1:4" ht="6" customHeight="1"/>
    <row r="22" spans="1:4">
      <c r="A22" s="391" t="str">
        <f>Criterios!A4</f>
        <v>Fecha Informe: 29 nov. 2024</v>
      </c>
    </row>
    <row r="27" spans="1:4">
      <c r="A27" s="414"/>
    </row>
  </sheetData>
  <sheetProtection algorithmName="SHA-512" hashValue="6aKDpAQLRV2V7xY61GDB2IIiNxTFbwliVSQPlRfPdEjBuUMfEqz0MNAJk3VlT5ccZ2Os+6ja+i5CZ8xCh5clag==" saltValue="u7hStydF6dwXrgPa9PaSXQ=="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ANDALUCIA</v>
      </c>
    </row>
    <row r="3" spans="1:11" ht="18.75" customHeight="1">
      <c r="A3" s="429" t="s">
        <v>118</v>
      </c>
      <c r="B3" s="391" t="str">
        <f>Criterios!A10 &amp;"  "&amp;Criterios!B10</f>
        <v>Provincias  HUELVA</v>
      </c>
    </row>
    <row r="4" spans="1:11" ht="10.5" customHeight="1" thickBot="1">
      <c r="B4" s="391" t="str">
        <f>Criterios!A11 &amp;"  "&amp;Criterios!B11</f>
        <v>Resumenes por Partidos Judiciales  VALVERDE DEL CAMINO</v>
      </c>
    </row>
    <row r="5" spans="1:11" ht="12.75" customHeight="1">
      <c r="A5" s="1210" t="str">
        <f>"Año:  " &amp;Criterios!B5 &amp; "    Trimestre   " &amp;Criterios!D5 &amp; " al " &amp;Criterios!D6</f>
        <v>Año:  2024    Trimestre   3 al 3</v>
      </c>
      <c r="B5" s="1242" t="s">
        <v>128</v>
      </c>
      <c r="C5" s="1207" t="s">
        <v>13</v>
      </c>
      <c r="D5" s="1191" t="s">
        <v>9</v>
      </c>
      <c r="E5" s="1191" t="s">
        <v>129</v>
      </c>
      <c r="F5" s="1207" t="s">
        <v>7</v>
      </c>
      <c r="G5" s="1229" t="s">
        <v>8</v>
      </c>
      <c r="H5" s="1222" t="s">
        <v>119</v>
      </c>
      <c r="I5" s="1234" t="s">
        <v>120</v>
      </c>
      <c r="J5" s="1237" t="s">
        <v>121</v>
      </c>
      <c r="K5" s="1204" t="s">
        <v>122</v>
      </c>
    </row>
    <row r="6" spans="1:11" ht="12.75" customHeight="1">
      <c r="A6" s="1211"/>
      <c r="B6" s="1243"/>
      <c r="C6" s="1208"/>
      <c r="D6" s="1192"/>
      <c r="E6" s="1192"/>
      <c r="F6" s="1208"/>
      <c r="G6" s="1230"/>
      <c r="H6" s="1232"/>
      <c r="I6" s="1235"/>
      <c r="J6" s="1238"/>
      <c r="K6" s="1240"/>
    </row>
    <row r="7" spans="1:11" ht="23.25" customHeight="1" thickBot="1">
      <c r="A7" s="392" t="str">
        <f>Datos!A7</f>
        <v>COMPETENCIAS</v>
      </c>
      <c r="B7" s="1244"/>
      <c r="C7" s="1209"/>
      <c r="D7" s="1193"/>
      <c r="E7" s="1193"/>
      <c r="F7" s="1209"/>
      <c r="G7" s="1231"/>
      <c r="H7" s="1233"/>
      <c r="I7" s="1236"/>
      <c r="J7" s="1239"/>
      <c r="K7" s="1241"/>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t="str">
        <f>IF(ISNUMBER(
   IF(J_V="SI",(Datos!I9-Datos!S9)/Datos!S9,(Datos!I9+Datos!Y9-(Datos!S9+Datos!AG9))/(Datos!S9+Datos!AG9))
     ),IF(J_V="SI",(Datos!I9-Datos!S9)/Datos!S9,(Datos!I9+Datos!Y9-(Datos!S9+Datos!AG9))/(Datos!S9+Datos!AG9))," - ")</f>
        <v xml:space="preserve"> - </v>
      </c>
      <c r="C9" s="456" t="str">
        <f>IF(ISNUMBER(
   IF(J_V="SI",(Datos!J9-Datos!T9)/Datos!T9,(Datos!J9+Datos!Z9-(Datos!T9+Datos!AH9))/(Datos!T9+Datos!AH9))
     ),IF(J_V="SI",(Datos!J9-Datos!T9)/Datos!T9,(Datos!J9+Datos!Z9-(Datos!T9+Datos!AH9))/(Datos!T9+Datos!AH9))," - ")</f>
        <v xml:space="preserve"> - </v>
      </c>
      <c r="D9" s="456" t="str">
        <f>IF(ISNUMBER(
   IF(J_V="SI",(Datos!K9-Datos!U9)/Datos!U9,(Datos!K9+Datos!AA9-(Datos!U9+Datos!AI9))/(Datos!U9+Datos!AI9))
     ),IF(J_V="SI",(Datos!K9-Datos!U9)/Datos!U9,(Datos!K9+Datos!AA9-(Datos!U9+Datos!AI9))/(Datos!U9+Datos!AI9))," - ")</f>
        <v xml:space="preserve"> - </v>
      </c>
      <c r="E9" s="456" t="str">
        <f>IF(ISNUMBER(
   IF(J_V="SI",(Datos!L9-Datos!V9)/Datos!V9,(Datos!L9+Datos!AB9-(Datos!V9+Datos!AJ9))/(Datos!V9+Datos!AJ9))
     ),IF(J_V="SI",(Datos!L9-Datos!V9)/Datos!V9,(Datos!L9+Datos!AB9-(Datos!V9+Datos!AJ9))/(Datos!V9+Datos!AJ9))," - ")</f>
        <v xml:space="preserve"> - </v>
      </c>
      <c r="F9" s="456" t="str">
        <f>IF(ISNUMBER((Datos!M9-Datos!W9)/Datos!W9),(Datos!M9-Datos!W9)/Datos!W9," - ")</f>
        <v xml:space="preserve"> - </v>
      </c>
      <c r="G9" s="457" t="str">
        <f>IF(ISNUMBER((Datos!N9-Datos!X9)/Datos!X9),(Datos!N9-Datos!X9)/Datos!X9," - ")</f>
        <v xml:space="preserve"> - </v>
      </c>
      <c r="H9" s="455" t="str">
        <f>IF(ISNUMBER(((NºAsuntos!G9/NºAsuntos!E9)-Datos!BD9)/Datos!BD9),((NºAsuntos!G9/NºAsuntos!E9)-Datos!BD9)/Datos!BD9," - ")</f>
        <v xml:space="preserve"> - </v>
      </c>
      <c r="I9" s="456" t="str">
        <f>IF(ISNUMBER(((NºAsuntos!I9/NºAsuntos!G9)-Datos!BE9)/Datos!BE9),((NºAsuntos!I9/NºAsuntos!G9)-Datos!BE9)/Datos!BE9," - ")</f>
        <v xml:space="preserve"> - </v>
      </c>
      <c r="J9" s="461" t="str">
        <f>IF(ISNUMBER((('Resol  Asuntos'!D9/NºAsuntos!G9)-Datos!BF9)/Datos!BF9),(('Resol  Asuntos'!D9/NºAsuntos!G9)-Datos!BF9)/Datos!BF9," - ")</f>
        <v xml:space="preserve"> - </v>
      </c>
      <c r="K9" s="462" t="str">
        <f>IF(ISNUMBER((((NºAsuntos!C9+NºAsuntos!E9)/NºAsuntos!G9)-Datos!BG9)/Datos!BG9),(((NºAsuntos!C9+NºAsuntos!E9)/NºAsuntos!G9)-Datos!BG9)/Datos!BG9," - ")</f>
        <v xml:space="preserve"> - </v>
      </c>
    </row>
    <row r="10" spans="1:11">
      <c r="A10" s="402" t="str">
        <f>Datos!A10</f>
        <v>Jdos. Violencia contra la mujer</v>
      </c>
      <c r="B10" s="455">
        <f>IF(ISNUMBER((Datos!I10-Datos!S10)/Datos!S10),(Datos!I10-Datos!S10)/Datos!S10," - ")</f>
        <v>0.7</v>
      </c>
      <c r="C10" s="456">
        <f>IF(ISNUMBER((Datos!J10-Datos!T10)/Datos!T10),(Datos!J10-Datos!T10)/Datos!T10," - ")</f>
        <v>0</v>
      </c>
      <c r="D10" s="456">
        <f>IF(ISNUMBER((Datos!K10-Datos!U10)/Datos!U10),(Datos!K10-Datos!U10)/Datos!U10," - ")</f>
        <v>-0.33333333333333331</v>
      </c>
      <c r="E10" s="456">
        <f>IF(ISNUMBER((Datos!L10-Datos!V10)/Datos!V10),(Datos!L10-Datos!V10)/Datos!V10," - ")</f>
        <v>0.88888888888888884</v>
      </c>
      <c r="F10" s="456">
        <f>IF(ISNUMBER((Datos!M10-Datos!W10)/Datos!W10),(Datos!M10-Datos!W10)/Datos!W10," - ")</f>
        <v>-0.66666666666666663</v>
      </c>
      <c r="G10" s="457" t="str">
        <f>IF(ISNUMBER((Datos!N10-Datos!X10)/Datos!X10),(Datos!N10-Datos!X10)/Datos!X10," - ")</f>
        <v xml:space="preserve"> - </v>
      </c>
      <c r="H10" s="455">
        <f>IF(ISNUMBER(((NºAsuntos!G10/NºAsuntos!E10)-Datos!BD10)/Datos!BD10),((NºAsuntos!G10/NºAsuntos!E10)-Datos!BD10)/Datos!BD10," - ")</f>
        <v>-0.33333333333333331</v>
      </c>
      <c r="I10" s="456">
        <f>IF(ISNUMBER(((NºAsuntos!I10/NºAsuntos!G10)-Datos!BE10)/Datos!BE10),((NºAsuntos!I10/NºAsuntos!G10)-Datos!BE10)/Datos!BE10," - ")</f>
        <v>1.8333333333333333</v>
      </c>
      <c r="J10" s="461">
        <f>IF(ISNUMBER((('Resol  Asuntos'!D10/NºAsuntos!G10)-Datos!BF10)/Datos!BF10),(('Resol  Asuntos'!D10/NºAsuntos!G10)-Datos!BF10)/Datos!BF10," - ")</f>
        <v>-0.5</v>
      </c>
      <c r="K10" s="462">
        <f>IF(ISNUMBER((((NºAsuntos!C10+NºAsuntos!E10)/NºAsuntos!G10)-Datos!BG10)/Datos!BG10),(((NºAsuntos!C10+NºAsuntos!E10)/NºAsuntos!G10)-Datos!BG10)/Datos!BG10," - ")</f>
        <v>1.375</v>
      </c>
    </row>
    <row r="11" spans="1:11">
      <c r="A11" s="402" t="str">
        <f>Datos!A11</f>
        <v xml:space="preserve">Jdos. Familia                                   </v>
      </c>
      <c r="B11" s="455" t="str">
        <f>IF(ISNUMBER(
   IF(J_V="SI",(Datos!I11-Datos!S11)/Datos!S11,(Datos!I11+Datos!Y11-(Datos!S11+Datos!AG11))/(Datos!S11+Datos!AG11))
     ),IF(J_V="SI",(Datos!I11-Datos!S11)/Datos!S11,(Datos!I11+Datos!Y11-(Datos!S11+Datos!AG11))/(Datos!S11+Datos!AG11))," - ")</f>
        <v xml:space="preserve"> - </v>
      </c>
      <c r="C11" s="456" t="str">
        <f>IF(ISNUMBER(
   IF(J_V="SI",(Datos!J11-Datos!T11)/Datos!T11,(Datos!J11+Datos!Z11-(Datos!T11+Datos!AH11))/(Datos!T11+Datos!AH11))
     ),IF(J_V="SI",(Datos!J11-Datos!T11)/Datos!T11,(Datos!J11+Datos!Z11-(Datos!T11+Datos!AH11))/(Datos!T11+Datos!AH11))," - ")</f>
        <v xml:space="preserve"> - </v>
      </c>
      <c r="D11" s="456" t="str">
        <f>IF(ISNUMBER(
   IF(J_V="SI",(Datos!K11-Datos!U11)/Datos!U11,(Datos!K11+Datos!AA11-(Datos!U11+Datos!AI11))/(Datos!U11+Datos!AI11))
     ),IF(J_V="SI",(Datos!K11-Datos!U11)/Datos!U11,(Datos!K11+Datos!AA11-(Datos!U11+Datos!AI11))/(Datos!U11+Datos!AI11))," - ")</f>
        <v xml:space="preserve"> - </v>
      </c>
      <c r="E11" s="456" t="str">
        <f>IF(ISNUMBER(
   IF(J_V="SI",(Datos!L11-Datos!V11)/Datos!V11,(Datos!L11+Datos!AB11-(Datos!V11+Datos!AJ11))/(Datos!V11+Datos!AJ11))
     ),IF(J_V="SI",(Datos!L11-Datos!V11)/Datos!V11,(Datos!L11+Datos!AB11-(Datos!V11+Datos!AJ11))/(Datos!V11+Datos!AJ11))," - ")</f>
        <v xml:space="preserve"> - </v>
      </c>
      <c r="F11" s="456" t="str">
        <f>IF(ISNUMBER((Datos!M11-Datos!W11)/Datos!W11),(Datos!M11-Datos!W11)/Datos!W11," - ")</f>
        <v xml:space="preserve"> - </v>
      </c>
      <c r="G11" s="457" t="str">
        <f>IF(ISNUMBER((Datos!N11-Datos!X11)/Datos!X11),(Datos!N11-Datos!X11)/Datos!X11," - ")</f>
        <v xml:space="preserve"> - </v>
      </c>
      <c r="H11" s="455" t="str">
        <f>IF(ISNUMBER(((NºAsuntos!G11/NºAsuntos!E11)-Datos!BD11)/Datos!BD11),((NºAsuntos!G11/NºAsuntos!E11)-Datos!BD11)/Datos!BD11," - ")</f>
        <v xml:space="preserve"> - </v>
      </c>
      <c r="I11" s="456" t="str">
        <f>IF(ISNUMBER(((NºAsuntos!I11/NºAsuntos!G11)-Datos!BE11)/Datos!BE11),((NºAsuntos!I11/NºAsuntos!G11)-Datos!BE11)/Datos!BE11," - ")</f>
        <v xml:space="preserve"> - </v>
      </c>
      <c r="J11" s="461" t="str">
        <f>IF(ISNUMBER((('Resol  Asuntos'!D11/NºAsuntos!G11)-Datos!BF11)/Datos!BF11),(('Resol  Asuntos'!D11/NºAsuntos!G11)-Datos!BF11)/Datos!BF11," - ")</f>
        <v xml:space="preserve"> - </v>
      </c>
      <c r="K11" s="462" t="str">
        <f>IF(ISNUMBER((((NºAsuntos!C11+NºAsuntos!E11)/NºAsuntos!G11)-Datos!BG11)/Datos!BG11),(((NºAsuntos!C11+NºAsuntos!E11)/NºAsuntos!G11)-Datos!BG11)/Datos!BG11," - ")</f>
        <v xml:space="preserve"> - </v>
      </c>
    </row>
    <row r="12" spans="1:11" ht="13.5" thickBot="1">
      <c r="A12" s="402" t="str">
        <f>Datos!A12</f>
        <v xml:space="preserve">Jdos. 1ª Instª. e Instr.                        </v>
      </c>
      <c r="B12" s="455">
        <f>IF(ISNUMBER(
   IF(J_V="SI",(Datos!I12-Datos!S12)/Datos!S12,(Datos!I12+Datos!Y12-(Datos!S12+Datos!AG12))/(Datos!S12+Datos!AG12))
     ),IF(J_V="SI",(Datos!I12-Datos!S12)/Datos!S12,(Datos!I12+Datos!Y12-(Datos!S12+Datos!AG12))/(Datos!S12+Datos!AG12))," - ")</f>
        <v>7.823310271420969E-2</v>
      </c>
      <c r="C12" s="456">
        <f>IF(ISNUMBER(
   IF(J_V="SI",(Datos!J12-Datos!T12)/Datos!T12,(Datos!J12+Datos!Z12-(Datos!T12+Datos!AH12))/(Datos!T12+Datos!AH12))
     ),IF(J_V="SI",(Datos!J12-Datos!T12)/Datos!T12,(Datos!J12+Datos!Z12-(Datos!T12+Datos!AH12))/(Datos!T12+Datos!AH12))," - ")</f>
        <v>0.10109289617486339</v>
      </c>
      <c r="D12" s="456">
        <f>IF(ISNUMBER(
   IF(J_V="SI",(Datos!K12-Datos!U12)/Datos!U12,(Datos!K12+Datos!AA12-(Datos!U12+Datos!AI12))/(Datos!U12+Datos!AI12))
     ),IF(J_V="SI",(Datos!K12-Datos!U12)/Datos!U12,(Datos!K12+Datos!AA12-(Datos!U12+Datos!AI12))/(Datos!U12+Datos!AI12))," - ")</f>
        <v>0.35069444444444442</v>
      </c>
      <c r="E12" s="456">
        <f>IF(ISNUMBER(
   IF(J_V="SI",(Datos!L12-Datos!V12)/Datos!V12,(Datos!L12+Datos!AB12-(Datos!V12+Datos!AJ12))/(Datos!V12+Datos!AJ12))
     ),IF(J_V="SI",(Datos!L12-Datos!V12)/Datos!V12,(Datos!L12+Datos!AB12-(Datos!V12+Datos!AJ12))/(Datos!V12+Datos!AJ12))," - ")</f>
        <v>4.2411854879918241E-2</v>
      </c>
      <c r="F12" s="456">
        <f>IF(ISNUMBER((Datos!M12-Datos!W12)/Datos!W12),(Datos!M12-Datos!W12)/Datos!W12," - ")</f>
        <v>0.8125</v>
      </c>
      <c r="G12" s="457">
        <f>IF(ISNUMBER((Datos!N12-Datos!X12)/Datos!X12),(Datos!N12-Datos!X12)/Datos!X12," - ")</f>
        <v>-1.9230769230769232E-2</v>
      </c>
      <c r="H12" s="455">
        <f>IF(ISNUMBER(((NºAsuntos!G12/NºAsuntos!E12)-Datos!BD12)/Datos!BD12),((NºAsuntos!G12/NºAsuntos!E12)-Datos!BD12)/Datos!BD12," - ")</f>
        <v>0.22668527708850292</v>
      </c>
      <c r="I12" s="456">
        <f>IF(ISNUMBER(((NºAsuntos!I12/NºAsuntos!G12)-Datos!BE12)/Datos!BE12),((NºAsuntos!I12/NºAsuntos!G12)-Datos!BE12)/Datos!BE12," - ")</f>
        <v>-0.22824006630998342</v>
      </c>
      <c r="J12" s="461">
        <f>IF(ISNUMBER((('Resol  Asuntos'!D12/NºAsuntos!G12)-Datos!BF12)/Datos!BF12),(('Resol  Asuntos'!D12/NºAsuntos!G12)-Datos!BF12)/Datos!BF12," - ")</f>
        <v>-0.58710698042317577</v>
      </c>
      <c r="K12" s="462">
        <f>IF(ISNUMBER((((NºAsuntos!C12+NºAsuntos!E12)/NºAsuntos!G12)-Datos!BG12)/Datos!BG12),(((NºAsuntos!C12+NºAsuntos!E12)/NºAsuntos!G12)-Datos!BG12)/Datos!BG12," - ")</f>
        <v>-0.19896027161186527</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8.152461619904712E-2</v>
      </c>
      <c r="C13" s="855">
        <f>IF(ISNUMBER(
   IF(J_V="SI",(Datos!J13-Datos!T13)/Datos!T13,(Datos!J13+Datos!Z13-(Datos!T13+Datos!AH13))/(Datos!T13+Datos!AH13))
     ),IF(J_V="SI",(Datos!J13-Datos!T13)/Datos!T13,(Datos!J13+Datos!Z13-(Datos!T13+Datos!AH13))/(Datos!T13+Datos!AH13))," - ")</f>
        <v>0.10054347826086957</v>
      </c>
      <c r="D13" s="855">
        <f>IF(ISNUMBER(
   IF(J_V="SI",(Datos!K13-Datos!U13)/Datos!U13,(Datos!K13+Datos!AA13-(Datos!U13+Datos!AI13))/(Datos!U13+Datos!AI13))
     ),IF(J_V="SI",(Datos!K13-Datos!U13)/Datos!U13,(Datos!K13+Datos!AA13-(Datos!U13+Datos!AI13))/(Datos!U13+Datos!AI13))," - ")</f>
        <v>0.3436426116838488</v>
      </c>
      <c r="E13" s="855">
        <f>IF(ISNUMBER(
   IF(J_V="SI",(Datos!L13-Datos!V13)/Datos!V13,(Datos!L13+Datos!AB13-(Datos!V13+Datos!AJ13))/(Datos!V13+Datos!AJ13))
     ),IF(J_V="SI",(Datos!L13-Datos!V13)/Datos!V13,(Datos!L13+Datos!AB13-(Datos!V13+Datos!AJ13))/(Datos!V13+Datos!AJ13))," - ")</f>
        <v>4.6286876907426243E-2</v>
      </c>
      <c r="F13" s="856">
        <f>IF(ISNUMBER((Datos!M13-Datos!W13)/Datos!W13),(Datos!M13-Datos!W13)/Datos!W13," - ")</f>
        <v>0.72549019607843135</v>
      </c>
      <c r="G13" s="857">
        <f>IF(ISNUMBER((Datos!N13-Datos!X13)/Datos!X13),(Datos!N13-Datos!X13)/Datos!X13," - ")</f>
        <v>-1.282051282051282E-2</v>
      </c>
      <c r="H13" s="857">
        <f>IF(ISNUMBER(((NºAsuntos!G13/NºAsuntos!E13)-Datos!BD13)/Datos!BD13),((NºAsuntos!G13/NºAsuntos!E13)-Datos!BD13)/Datos!BD13," - ")</f>
        <v>0.22089007678927497</v>
      </c>
      <c r="I13" s="857">
        <f>IF(ISNUMBER(((NºAsuntos!I13/NºAsuntos!G13)-Datos!BE13)/Datos!BE13),((NºAsuntos!I13/NºAsuntos!G13)-Datos!BE13)/Datos!BE13," - ")</f>
        <v>-0.22130567473130164</v>
      </c>
      <c r="J13" s="857">
        <f>IF(ISNUMBER((('Resol  Asuntos'!D13/NºAsuntos!G13)-Datos!BF13)/Datos!BF13),(('Resol  Asuntos'!D13/NºAsuntos!G13)-Datos!BF13)/Datos!BF13," - ")</f>
        <v>-0.58809052743328671</v>
      </c>
      <c r="K13" s="857">
        <f>IF(ISNUMBER((((NºAsuntos!C13+NºAsuntos!E13)/NºAsuntos!G13)-Datos!BG13)/Datos!BG13),(((NºAsuntos!C13+NºAsuntos!E13)/NºAsuntos!G13)-Datos!BG13)/Datos!BG13," - ")</f>
        <v>-0.19277224480360614</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t="str">
        <f>IF(ISNUMBER(
   IF(D_I="SI",(Datos!I15-Datos!S15)/Datos!S15,(Datos!I15+Datos!AC15-(Datos!S15+Datos!AK15))/(Datos!S15+Datos!AK15))
     ),IF(D_I="SI",(Datos!I15-Datos!S15)/Datos!S15,(Datos!I15+Datos!AC15-(Datos!S15+Datos!AK15))/(Datos!S15+Datos!AK15))," - ")</f>
        <v xml:space="preserve"> - </v>
      </c>
      <c r="C15" s="456" t="str">
        <f>IF(ISNUMBER(
   IF(D_I="SI",(Datos!J15-Datos!T15)/Datos!T15,(Datos!J15+Datos!AD15-(Datos!T15+Datos!AL15))/(Datos!T15+Datos!AL15))
     ),IF(D_I="SI",(Datos!J15-Datos!T15)/Datos!T15,(Datos!J15+Datos!AD15-(Datos!T15+Datos!AL15))/(Datos!T15+Datos!AL15))," - ")</f>
        <v xml:space="preserve"> - </v>
      </c>
      <c r="D15" s="456" t="str">
        <f>IF(ISNUMBER(
   IF(D_I="SI",(Datos!K15-Datos!U15)/Datos!U15,(Datos!K15+Datos!AE15-(Datos!U15+Datos!AM15))/(Datos!U15+Datos!AM15))
     ),IF(D_I="SI",(Datos!K15-Datos!U15)/Datos!U15,(Datos!K15+Datos!AE15-(Datos!U15+Datos!AM15))/(Datos!U15+Datos!AM15))," - ")</f>
        <v xml:space="preserve"> - </v>
      </c>
      <c r="E15" s="456" t="str">
        <f>IF(ISNUMBER(
   IF(D_I="SI",(Datos!L15-Datos!V15)/Datos!V15,(Datos!L15+Datos!AF15-(Datos!V15+Datos!AN15))/(Datos!V15+Datos!AN15))
     ),IF(D_I="SI",(Datos!L15-Datos!V15)/Datos!V15,(Datos!L15+Datos!AF15-(Datos!V15+Datos!AN15))/(Datos!V15+Datos!AN15))," - ")</f>
        <v xml:space="preserve"> - </v>
      </c>
      <c r="F15" s="456" t="str">
        <f>IF(ISNUMBER((Datos!M15-Datos!W15)/Datos!W15),(Datos!M15-Datos!W15)/Datos!W15," - ")</f>
        <v xml:space="preserve"> - </v>
      </c>
      <c r="G15" s="457" t="str">
        <f>IF(ISNUMBER((Datos!N15-Datos!X15)/Datos!X15),(Datos!N15-Datos!X15)/Datos!X15," - ")</f>
        <v xml:space="preserve"> - </v>
      </c>
      <c r="H15" s="455" t="str">
        <f>IF(ISNUMBER(((NºAsuntos!G15/NºAsuntos!E15)-Datos!BD15)/Datos!BD15),((NºAsuntos!G15/NºAsuntos!E15)-Datos!BD15)/Datos!BD15," - ")</f>
        <v xml:space="preserve"> - </v>
      </c>
      <c r="I15" s="456" t="str">
        <f>IF(ISNUMBER(((NºAsuntos!I15/NºAsuntos!G15)-Datos!BE15)/Datos!BE15),((NºAsuntos!I15/NºAsuntos!G15)-Datos!BE15)/Datos!BE15," - ")</f>
        <v xml:space="preserve"> - </v>
      </c>
      <c r="J15" s="461" t="str">
        <f>IF(ISNUMBER((('Resol  Asuntos'!D15/NºAsuntos!G15)-Datos!BF15)/Datos!BF15),(('Resol  Asuntos'!D15/NºAsuntos!G15)-Datos!BF15)/Datos!BF15," - ")</f>
        <v xml:space="preserve"> - </v>
      </c>
      <c r="K15" s="462" t="str">
        <f>IF(ISNUMBER((((NºAsuntos!C15+NºAsuntos!E15)/NºAsuntos!G15)-Datos!BG15)/Datos!BG15),(((NºAsuntos!C15+NºAsuntos!E15)/NºAsuntos!G15)-Datos!BG15)/Datos!BG15," - ")</f>
        <v xml:space="preserve"> - </v>
      </c>
    </row>
    <row r="16" spans="1:11">
      <c r="A16" s="402" t="str">
        <f>Datos!A16</f>
        <v xml:space="preserve">Jdos. 1ª Instª. e Instr.                        </v>
      </c>
      <c r="B16" s="455">
        <f>IF(ISNUMBER(
   IF(D_I="SI",(Datos!I16-Datos!S16)/Datos!S16,(Datos!I16+Datos!AC16-(Datos!S16+Datos!AK16))/(Datos!S16+Datos!AK16))
     ),IF(D_I="SI",(Datos!I16-Datos!S16)/Datos!S16,(Datos!I16+Datos!AC16-(Datos!S16+Datos!AK16))/(Datos!S16+Datos!AK16))," - ")</f>
        <v>0.7931034482758621</v>
      </c>
      <c r="C16" s="456">
        <f>IF(ISNUMBER(
   IF(D_I="SI",(Datos!J16-Datos!T16)/Datos!T16,(Datos!J16+Datos!AD16-(Datos!T16+Datos!AL16))/(Datos!T16+Datos!AL16))
     ),IF(D_I="SI",(Datos!J16-Datos!T16)/Datos!T16,(Datos!J16+Datos!AD16-(Datos!T16+Datos!AL16))/(Datos!T16+Datos!AL16))," - ")</f>
        <v>-0.50217076700434149</v>
      </c>
      <c r="D16" s="456">
        <f>IF(ISNUMBER(
   IF(D_I="SI",(Datos!K16-Datos!U16)/Datos!U16,(Datos!K16+Datos!AE16-(Datos!U16+Datos!AM16))/(Datos!U16+Datos!AM16))
     ),IF(D_I="SI",(Datos!K16-Datos!U16)/Datos!U16,(Datos!K16+Datos!AE16-(Datos!U16+Datos!AM16))/(Datos!U16+Datos!AM16))," - ")</f>
        <v>0.62385321100917435</v>
      </c>
      <c r="E16" s="456">
        <f>IF(ISNUMBER(
   IF(D_I="SI",(Datos!L16-Datos!V16)/Datos!V16,(Datos!L16+Datos!AF16-(Datos!V16+Datos!AN16))/(Datos!V16+Datos!AN16))
     ),IF(D_I="SI",(Datos!L16-Datos!V16)/Datos!V16,(Datos!L16+Datos!AF16-(Datos!V16+Datos!AN16))/(Datos!V16+Datos!AN16))," - ")</f>
        <v>9.3724531377343115E-2</v>
      </c>
      <c r="F16" s="456">
        <f>IF(ISNUMBER((Datos!M16-Datos!W16)/Datos!W16),(Datos!M16-Datos!W16)/Datos!W16," - ")</f>
        <v>1.3846153846153846</v>
      </c>
      <c r="G16" s="457">
        <f>IF(ISNUMBER((Datos!N16-Datos!X16)/Datos!X16),(Datos!N16-Datos!X16)/Datos!X16," - ")</f>
        <v>0.45512820512820512</v>
      </c>
      <c r="H16" s="455">
        <f>IF(ISNUMBER(((NºAsuntos!G16/NºAsuntos!E16)-Datos!BD16)/Datos!BD16),((NºAsuntos!G16/NºAsuntos!E16)-Datos!BD16)/Datos!BD16," - ")</f>
        <v>2.261867932579475</v>
      </c>
      <c r="I16" s="456">
        <f>IF(ISNUMBER(((NºAsuntos!I16/NºAsuntos!G16)-Datos!BE16)/Datos!BE16),((NºAsuntos!I16/NºAsuntos!G16)-Datos!BE16)/Datos!BE16," - ")</f>
        <v>-0.32646342418005425</v>
      </c>
      <c r="J16" s="461">
        <f>IF(ISNUMBER((('Resol  Asuntos'!D16/NºAsuntos!G16)-Datos!BF16)/Datos!BF16),(('Resol  Asuntos'!D16/NºAsuntos!G16)-Datos!BF16)/Datos!BF16," - ")</f>
        <v>0.46849196001738364</v>
      </c>
      <c r="K16" s="462">
        <f>IF(ISNUMBER((((NºAsuntos!C16+NºAsuntos!E16)/NºAsuntos!G16)-Datos!BG16)/Datos!BG16),(((NºAsuntos!C16+NºAsuntos!E16)/NºAsuntos!G16)-Datos!BG16)/Datos!BG16," - ")</f>
        <v>-0.2772115027466619</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0.39393939393939392</v>
      </c>
      <c r="C17" s="456">
        <f>IF(ISNUMBER(
   IF(D_I="SI",(Datos!J17-Datos!T17)/Datos!T17,(Datos!J17+Datos!AD17-(Datos!T17+Datos!AL17))/(Datos!T17+Datos!AL17))
     ),IF(D_I="SI",(Datos!J17-Datos!T17)/Datos!T17,(Datos!J17+Datos!AD17-(Datos!T17+Datos!AL17))/(Datos!T17+Datos!AL17))," - ")</f>
        <v>-0.31111111111111112</v>
      </c>
      <c r="D17" s="456">
        <f>IF(ISNUMBER(
   IF(D_I="SI",(Datos!K17-Datos!U17)/Datos!U17,(Datos!K17+Datos!AE17-(Datos!U17+Datos!AM17))/(Datos!U17+Datos!AM17))
     ),IF(D_I="SI",(Datos!K17-Datos!U17)/Datos!U17,(Datos!K17+Datos!AE17-(Datos!U17+Datos!AM17))/(Datos!U17+Datos!AM17))," - ")</f>
        <v>-0.45652173913043476</v>
      </c>
      <c r="E17" s="456">
        <f>IF(ISNUMBER(
   IF(D_I="SI",(Datos!L17-Datos!V17)/Datos!V17,(Datos!L17+Datos!AF17-(Datos!V17+Datos!AN17))/(Datos!V17+Datos!AN17))
     ),IF(D_I="SI",(Datos!L17-Datos!V17)/Datos!V17,(Datos!L17+Datos!AF17-(Datos!V17+Datos!AN17))/(Datos!V17+Datos!AN17))," - ")</f>
        <v>0.625</v>
      </c>
      <c r="F17" s="456">
        <f>IF(ISNUMBER((Datos!M17-Datos!W17)/Datos!W17),(Datos!M17-Datos!W17)/Datos!W17," - ")</f>
        <v>0.66666666666666663</v>
      </c>
      <c r="G17" s="457">
        <f>IF(ISNUMBER((Datos!N17-Datos!X17)/Datos!X17),(Datos!N17-Datos!X17)/Datos!X17," - ")</f>
        <v>-0.33333333333333331</v>
      </c>
      <c r="H17" s="455">
        <f>IF(ISNUMBER(((NºAsuntos!G17/NºAsuntos!E17)-Datos!BD17)/Datos!BD17),((NºAsuntos!G17/NºAsuntos!E17)-Datos!BD17)/Datos!BD17," - ")</f>
        <v>-0.21107994389901821</v>
      </c>
      <c r="I17" s="456">
        <f>IF(ISNUMBER(((NºAsuntos!I17/NºAsuntos!G17)-Datos!BE17)/Datos!BE17),((NºAsuntos!I17/NºAsuntos!G17)-Datos!BE17)/Datos!BE17," - ")</f>
        <v>1.9900000000000002</v>
      </c>
      <c r="J17" s="461">
        <f>IF(ISNUMBER((('Resol  Asuntos'!D17/NºAsuntos!G17)-Datos!BF17)/Datos!BF17),(('Resol  Asuntos'!D17/NºAsuntos!G17)-Datos!BF17)/Datos!BF17," - ")</f>
        <v>2.0666666666666669</v>
      </c>
      <c r="K17" s="462">
        <f>IF(ISNUMBER((((NºAsuntos!C17+NºAsuntos!E17)/NºAsuntos!G17)-Datos!BG17)/Datos!BG17),(((NºAsuntos!C17+NºAsuntos!E17)/NºAsuntos!G17)-Datos!BG17)/Datos!BG17," - ")</f>
        <v>0.81641025641025644</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0.77636594663278269</v>
      </c>
      <c r="C18" s="855">
        <f>IF(ISNUMBER(
   IF(Criterios!B14="SI",(Datos!J18-Datos!T18)/Datos!T18,(Datos!J18+Datos!AD18-(Datos!T18+Datos!AL18))/(Datos!T18+Datos!AL18))
     ),IF(Criterios!B14="SI",(Datos!J18-Datos!T18)/Datos!T18,(Datos!J18+Datos!AD18-(Datos!T18+Datos!AL18))/(Datos!T18+Datos!AL18))," - ")</f>
        <v>-0.49048913043478259</v>
      </c>
      <c r="D18" s="855">
        <f>IF(ISNUMBER(
   IF(Criterios!B14="SI",(Datos!K18-Datos!U18)/Datos!U18,(Datos!K18+Datos!AE18-(Datos!U18+Datos!AM18))/(Datos!U18+Datos!AM18))
     ),IF(Criterios!B14="SI",(Datos!K18-Datos!U18)/Datos!U18,(Datos!K18+Datos!AE18-(Datos!U18+Datos!AM18))/(Datos!U18+Datos!AM18))," - ")</f>
        <v>0.43560606060606061</v>
      </c>
      <c r="E18" s="855">
        <f>IF(ISNUMBER(
   IF(Criterios!B14="SI",(Datos!L18-Datos!V18)/Datos!V18,(Datos!L18+Datos!AF18-(Datos!V18+Datos!AN18))/(Datos!V18+Datos!AN18))
     ),IF(Criterios!B14="SI",(Datos!L18-Datos!V18)/Datos!V18,(Datos!L18+Datos!AF18-(Datos!V18+Datos!AN18))/(Datos!V18+Datos!AN18))," - ")</f>
        <v>0.10722795869737888</v>
      </c>
      <c r="F18" s="856">
        <f>IF(ISNUMBER((Datos!M18-Datos!W18)/Datos!W18),(Datos!M18-Datos!W18)/Datos!W18," - ")</f>
        <v>1.3103448275862069</v>
      </c>
      <c r="G18" s="857">
        <f>IF(ISNUMBER((Datos!N18-Datos!X18)/Datos!X18),(Datos!N18-Datos!X18)/Datos!X18," - ")</f>
        <v>0.30729166666666669</v>
      </c>
      <c r="H18" s="857">
        <f>IF(ISNUMBER(((NºAsuntos!G18/NºAsuntos!E18)-Datos!BD18)/Datos!BD18),((NºAsuntos!G18/NºAsuntos!E18)-Datos!BD18)/Datos!BD18," - ")</f>
        <v>1.8176161616161615</v>
      </c>
      <c r="I18" s="857">
        <f>IF(ISNUMBER(((NºAsuntos!I18/NºAsuntos!G18)-Datos!BE18)/Datos!BE18),((NºAsuntos!I18/NºAsuntos!G18)-Datos!BE18)/Datos!BE18," - ")</f>
        <v>-0.22873830845354076</v>
      </c>
      <c r="J18" s="857">
        <f>IF(ISNUMBER((('Resol  Asuntos'!D18/NºAsuntos!G18)-Datos!BF18)/Datos!BF18),(('Resol  Asuntos'!D18/NºAsuntos!G18)-Datos!BF18)/Datos!BF18," - ")</f>
        <v>0.60931671367482476</v>
      </c>
      <c r="K18" s="857">
        <f>IF(ISNUMBER((((NºAsuntos!C18+NºAsuntos!E18)/NºAsuntos!G18)-Datos!BG18)/Datos!BG18),(((NºAsuntos!C18+NºAsuntos!E18)/NºAsuntos!G18)-Datos!BG18)/Datos!BG18," - ")</f>
        <v>-0.18908833246422049</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0.2858744394618834</v>
      </c>
      <c r="C19" s="802">
        <f>IF(ISNUMBER(
   IF(J_V="SI",(Datos!J19-Datos!T19)/Datos!T19,(Datos!J19+Datos!Z19-(Datos!T19+Datos!AH19))/(Datos!T19+Datos!AH19))
     ),IF(J_V="SI",(Datos!J19-Datos!T19)/Datos!T19,(Datos!J19+Datos!Z19-(Datos!T19+Datos!AH19))/(Datos!T19+Datos!AH19))," - ")</f>
        <v>-0.29347826086956524</v>
      </c>
      <c r="D19" s="802">
        <f>IF(ISNUMBER(
   IF(J_V="SI",(Datos!K19-Datos!U19)/Datos!U19,(Datos!K19+Datos!AA19-(Datos!U19+Datos!AI19))/(Datos!U19+Datos!AI19))
     ),IF(J_V="SI",(Datos!K19-Datos!U19)/Datos!U19,(Datos!K19+Datos!AA19-(Datos!U19+Datos!AI19))/(Datos!U19+Datos!AI19))," - ")</f>
        <v>0.38738738738738737</v>
      </c>
      <c r="E19" s="802">
        <f>IF(ISNUMBER(
   IF(J_V="SI",(Datos!L19-Datos!V19)/Datos!V19,(Datos!L19+Datos!AB19-(Datos!V19+Datos!AJ19))/(Datos!V19+Datos!AJ19))
     ),IF(J_V="SI",(Datos!L19-Datos!V19)/Datos!V19,(Datos!L19+Datos!AB19-(Datos!V19+Datos!AJ19))/(Datos!V19+Datos!AJ19))," - ")</f>
        <v>7.0077519379844966E-2</v>
      </c>
      <c r="F19" s="803">
        <f>IF(ISNUMBER((Datos!M19-Datos!W19)/Datos!W19),(Datos!M19-Datos!W19)/Datos!W19," - ")</f>
        <v>0.9375</v>
      </c>
      <c r="G19" s="804">
        <f>IF(ISNUMBER((Datos!N19-Datos!X19)/Datos!X19),(Datos!N19-Datos!X19)/Datos!X19," - ")</f>
        <v>0.16379310344827586</v>
      </c>
      <c r="H19" s="805">
        <f>IF(ISNUMBER((Tasas!B19-Datos!BD19)/Datos!BD19),(Tasas!B19-Datos!BD19)/Datos!BD19," - ")</f>
        <v>0.96368676368676398</v>
      </c>
      <c r="I19" s="806">
        <f>IF(ISNUMBER((Tasas!C19-Datos!BE19)/Datos!BE19),(Tasas!C19-Datos!BE19)/Datos!BE19," - ")</f>
        <v>-0.22871035940803386</v>
      </c>
      <c r="J19" s="807">
        <f>IF(ISNUMBER((Tasas!D19-Datos!BF19)/Datos!BF19),(Tasas!D19-Datos!BF19)/Datos!BF19," - ")</f>
        <v>-0.40574053605968491</v>
      </c>
      <c r="K19" s="807">
        <f>IF(ISNUMBER((Tasas!E19-Datos!BG19)/Datos!BG19),(Tasas!E19-Datos!BG19)/Datos!BG19," - ")</f>
        <v>-0.19512987012987015</v>
      </c>
    </row>
    <row r="20" spans="1:12">
      <c r="A20" s="411"/>
      <c r="B20" s="411"/>
      <c r="C20" s="411"/>
      <c r="D20" s="411"/>
      <c r="E20" s="411"/>
    </row>
    <row r="21" spans="1:12" ht="70.5" customHeight="1">
      <c r="A21" s="1228" t="s">
        <v>152</v>
      </c>
      <c r="B21" s="1228"/>
      <c r="C21" s="1228"/>
      <c r="D21" s="1228"/>
      <c r="E21" s="1228"/>
      <c r="F21" s="1228"/>
      <c r="G21" s="1228"/>
      <c r="H21" s="1228"/>
      <c r="I21" s="1228"/>
      <c r="J21" s="1228"/>
      <c r="K21" s="1228"/>
    </row>
    <row r="22" spans="1:12">
      <c r="A22" s="1227"/>
      <c r="B22" s="1227"/>
      <c r="C22" s="413"/>
      <c r="D22" s="413"/>
      <c r="E22" s="413"/>
    </row>
    <row r="23" spans="1:12">
      <c r="A23" s="391" t="str">
        <f>Criterios!A4</f>
        <v>Fecha Informe: 29 nov. 2024</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MMGOtnG5h3vsaHhKKMIWsjTiI/HaVmE1BZjE/ODZl+Ovyra3k3OUa72ulpzfe1GjkOZsFTIg42hy5kWa8ECfEA==" saltValue="OTJhu8UuENUnCBoVylVoHA=="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ANDALUCIA</v>
      </c>
    </row>
    <row r="3" spans="1:7" ht="19.5">
      <c r="A3" s="436" t="s">
        <v>12</v>
      </c>
      <c r="B3" s="391" t="str">
        <f>Criterios!A10 &amp;"  "&amp;Criterios!B10</f>
        <v>Provincias  HUELVA</v>
      </c>
    </row>
    <row r="4" spans="1:7" ht="11.25" customHeight="1" thickBot="1">
      <c r="B4" s="391" t="str">
        <f>Criterios!A11 &amp;"  "&amp;Criterios!B11</f>
        <v>Resumenes por Partidos Judiciales  VALVERDE DEL CAMINO</v>
      </c>
    </row>
    <row r="5" spans="1:7" ht="12.75" customHeight="1">
      <c r="A5" s="1210" t="str">
        <f>"Año:  " &amp;Criterios!B5 &amp; "    Trimestre   " &amp;Criterios!D5 &amp; " al " &amp;Criterios!D6</f>
        <v>Año:  2024    Trimestre   3 al 3</v>
      </c>
      <c r="B5" s="1204" t="s">
        <v>95</v>
      </c>
      <c r="C5" s="1204" t="s">
        <v>96</v>
      </c>
      <c r="D5" s="1204" t="s">
        <v>97</v>
      </c>
      <c r="E5" s="1204" t="s">
        <v>98</v>
      </c>
      <c r="G5" s="463"/>
    </row>
    <row r="6" spans="1:7" ht="12.75" customHeight="1">
      <c r="A6" s="1211"/>
      <c r="B6" s="1240"/>
      <c r="C6" s="1240"/>
      <c r="D6" s="1240"/>
      <c r="E6" s="1240"/>
      <c r="G6" s="463"/>
    </row>
    <row r="7" spans="1:7" ht="30.75" customHeight="1" thickBot="1">
      <c r="A7" s="437" t="str">
        <f>Datos!A7</f>
        <v>COMPETENCIAS</v>
      </c>
      <c r="B7" s="1241"/>
      <c r="C7" s="1241"/>
      <c r="D7" s="1241"/>
      <c r="E7" s="1241"/>
      <c r="G7" s="463"/>
    </row>
    <row r="8" spans="1:7">
      <c r="A8" s="396" t="str">
        <f>Datos!A8</f>
        <v>Jurisdicción Civil ( 1 ):</v>
      </c>
      <c r="B8" s="438"/>
      <c r="C8" s="439"/>
      <c r="D8" s="440"/>
      <c r="E8" s="441"/>
      <c r="G8" s="463"/>
    </row>
    <row r="9" spans="1:7" ht="14.25" customHeight="1">
      <c r="A9" s="402" t="str">
        <f>Datos!A9</f>
        <v xml:space="preserve">Jdos. 1ª Instancia   </v>
      </c>
      <c r="B9" s="442" t="str">
        <f>IF(ISNUMBER(NºAsuntos!G9/NºAsuntos!E9),NºAsuntos!G9/NºAsuntos!E9," - ")</f>
        <v xml:space="preserve"> - </v>
      </c>
      <c r="C9" s="443" t="str">
        <f>IF(ISNUMBER(NºAsuntos!I9/NºAsuntos!G9),NºAsuntos!I9/NºAsuntos!G9," - ")</f>
        <v xml:space="preserve"> - </v>
      </c>
      <c r="D9" s="444" t="str">
        <f>IF(ISNUMBER('Resol  Asuntos'!D9/NºAsuntos!G9),'Resol  Asuntos'!D9/NºAsuntos!G9," - ")</f>
        <v xml:space="preserve"> - </v>
      </c>
      <c r="E9" s="445" t="str">
        <f>IF(ISNUMBER((NºAsuntos!C9+NºAsuntos!E9)/NºAsuntos!G9),(NºAsuntos!C9+NºAsuntos!E9)/NºAsuntos!G9," - ")</f>
        <v xml:space="preserve"> - </v>
      </c>
      <c r="G9" s="463"/>
    </row>
    <row r="10" spans="1:7">
      <c r="A10" s="402" t="str">
        <f>Datos!A10</f>
        <v>Jdos. Violencia contra la mujer</v>
      </c>
      <c r="B10" s="442">
        <f>IF(ISNUMBER(NºAsuntos!G10/NºAsuntos!E10),NºAsuntos!G10/NºAsuntos!E10," - ")</f>
        <v>1</v>
      </c>
      <c r="C10" s="443">
        <f>IF(ISNUMBER(NºAsuntos!I10/NºAsuntos!G10),NºAsuntos!I10/NºAsuntos!G10," - ")</f>
        <v>8.5</v>
      </c>
      <c r="D10" s="444">
        <f>IF(ISNUMBER('Resol  Asuntos'!D10/NºAsuntos!G10),'Resol  Asuntos'!D10/NºAsuntos!G10," - ")</f>
        <v>0.5</v>
      </c>
      <c r="E10" s="445">
        <f>IF(ISNUMBER((NºAsuntos!C10+NºAsuntos!E10)/NºAsuntos!G10),(NºAsuntos!C10+NºAsuntos!E10)/NºAsuntos!G10," - ")</f>
        <v>9.5</v>
      </c>
      <c r="G10" s="463"/>
    </row>
    <row r="11" spans="1:7">
      <c r="A11" s="402" t="str">
        <f>Datos!A11</f>
        <v xml:space="preserve">Jdos. Familia                                   </v>
      </c>
      <c r="B11" s="442" t="str">
        <f>IF(ISNUMBER(NºAsuntos!G11/NºAsuntos!E11),NºAsuntos!G11/NºAsuntos!E11," - ")</f>
        <v xml:space="preserve"> - </v>
      </c>
      <c r="C11" s="443" t="str">
        <f>IF(ISNUMBER(NºAsuntos!I11/NºAsuntos!G11),NºAsuntos!I11/NºAsuntos!G11," - ")</f>
        <v xml:space="preserve"> - </v>
      </c>
      <c r="D11" s="444" t="str">
        <f>IF(ISNUMBER('Resol  Asuntos'!D11/NºAsuntos!G11),'Resol  Asuntos'!D11/NºAsuntos!G11," - ")</f>
        <v xml:space="preserve"> - </v>
      </c>
      <c r="E11" s="445" t="str">
        <f>IF(ISNUMBER((NºAsuntos!C11+NºAsuntos!E11)/NºAsuntos!G11),(NºAsuntos!C11+NºAsuntos!E11)/NºAsuntos!G11," - ")</f>
        <v xml:space="preserve"> - </v>
      </c>
      <c r="G11" s="463"/>
    </row>
    <row r="12" spans="1:7" ht="13.5" thickBot="1">
      <c r="A12" s="402" t="str">
        <f>Datos!A12</f>
        <v xml:space="preserve">Jdos. 1ª Instª. e Instr.                        </v>
      </c>
      <c r="B12" s="442">
        <f>IF(ISNUMBER(NºAsuntos!G12/NºAsuntos!E12),NºAsuntos!G12/NºAsuntos!E12," - ")</f>
        <v>0.9652605459057072</v>
      </c>
      <c r="C12" s="443">
        <f>IF(ISNUMBER(NºAsuntos!I12/NºAsuntos!G12),NºAsuntos!I12/NºAsuntos!G12," - ")</f>
        <v>5.2442159383033422</v>
      </c>
      <c r="D12" s="444">
        <f>IF(ISNUMBER('Resol  Asuntos'!D12/NºAsuntos!G12),'Resol  Asuntos'!D12/NºAsuntos!G12," - ")</f>
        <v>0.2236503856041131</v>
      </c>
      <c r="E12" s="445">
        <f>IF(ISNUMBER((NºAsuntos!C12+NºAsuntos!E12)/NºAsuntos!G12),(NºAsuntos!C12+NºAsuntos!E12)/NºAsuntos!G12," - ")</f>
        <v>6.2442159383033422</v>
      </c>
      <c r="G12" s="463"/>
    </row>
    <row r="13" spans="1:7" ht="14.25" thickTop="1" thickBot="1">
      <c r="A13" s="848" t="str">
        <f>Datos!A13</f>
        <v>TOTAL</v>
      </c>
      <c r="B13" s="858">
        <f>IF(ISNUMBER(NºAsuntos!G13/NºAsuntos!E13),NºAsuntos!G13/NºAsuntos!E13," - ")</f>
        <v>0.96543209876543212</v>
      </c>
      <c r="C13" s="859">
        <f>IF(ISNUMBER(NºAsuntos!I13/NºAsuntos!G13),NºAsuntos!I13/NºAsuntos!G13," - ")</f>
        <v>5.2608695652173916</v>
      </c>
      <c r="D13" s="860">
        <f>IF(ISNUMBER('Resol  Asuntos'!D13/NºAsuntos!G13),'Resol  Asuntos'!D13/NºAsuntos!G13," - ")</f>
        <v>0.22506393861892582</v>
      </c>
      <c r="E13" s="861">
        <f>IF(ISNUMBER((NºAsuntos!C13+NºAsuntos!E13)/NºAsuntos!G13),(NºAsuntos!C13+NºAsuntos!E13)/NºAsuntos!G13," - ")</f>
        <v>6.2608695652173916</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t="str">
        <f>IF(ISNUMBER(NºAsuntos!G15/NºAsuntos!E15),NºAsuntos!G15/NºAsuntos!E15," - ")</f>
        <v xml:space="preserve"> - </v>
      </c>
      <c r="C15" s="443" t="str">
        <f>IF(ISNUMBER(NºAsuntos!I15/NºAsuntos!G15),NºAsuntos!I15/NºAsuntos!G15," - ")</f>
        <v xml:space="preserve"> - </v>
      </c>
      <c r="D15" s="444" t="str">
        <f>IF(ISNUMBER('Resol  Asuntos'!D15/NºAsuntos!G15),'Resol  Asuntos'!D15/NºAsuntos!G15," - ")</f>
        <v xml:space="preserve"> - </v>
      </c>
      <c r="E15" s="445" t="str">
        <f>IF(ISNUMBER((NºAsuntos!C15+NºAsuntos!E15)/NºAsuntos!G15),(NºAsuntos!C15+NºAsuntos!E15)/NºAsuntos!G15," - ")</f>
        <v xml:space="preserve"> - </v>
      </c>
      <c r="G15" s="463"/>
    </row>
    <row r="16" spans="1:7">
      <c r="A16" s="402" t="str">
        <f>Datos!A16</f>
        <v xml:space="preserve">Jdos. 1ª Instª. e Instr.                        </v>
      </c>
      <c r="B16" s="442">
        <f>IF(ISNUMBER(NºAsuntos!G16/NºAsuntos!E16),NºAsuntos!G16/NºAsuntos!E16," - ")</f>
        <v>1.0290697674418605</v>
      </c>
      <c r="C16" s="443">
        <f>IF(ISNUMBER(NºAsuntos!I16/NºAsuntos!G16),NºAsuntos!I16/NºAsuntos!G16," - ")</f>
        <v>3.7909604519774009</v>
      </c>
      <c r="D16" s="444">
        <f>IF(ISNUMBER('Resol  Asuntos'!D16/NºAsuntos!G16),'Resol  Asuntos'!D16/NºAsuntos!G16," - ")</f>
        <v>0.1751412429378531</v>
      </c>
      <c r="E16" s="445">
        <f>IF(ISNUMBER((NºAsuntos!C16+NºAsuntos!E16)/NºAsuntos!G16),(NºAsuntos!C16+NºAsuntos!E16)/NºAsuntos!G16," - ")</f>
        <v>4.7909604519774014</v>
      </c>
      <c r="G16" s="463"/>
    </row>
    <row r="17" spans="1:7" ht="13.5" thickBot="1">
      <c r="A17" s="402" t="str">
        <f>Datos!A17</f>
        <v>Jdos. Violencia contra la mujer</v>
      </c>
      <c r="B17" s="442">
        <f>IF(ISNUMBER(NºAsuntos!G17/NºAsuntos!E17),NºAsuntos!G17/NºAsuntos!E17," - ")</f>
        <v>0.80645161290322576</v>
      </c>
      <c r="C17" s="443">
        <f>IF(ISNUMBER(NºAsuntos!I17/NºAsuntos!G17),NºAsuntos!I17/NºAsuntos!G17," - ")</f>
        <v>2.08</v>
      </c>
      <c r="D17" s="444">
        <f>IF(ISNUMBER('Resol  Asuntos'!D17/NºAsuntos!G17),'Resol  Asuntos'!D17/NºAsuntos!G17," - ")</f>
        <v>0.2</v>
      </c>
      <c r="E17" s="445">
        <f>IF(ISNUMBER((NºAsuntos!C17+NºAsuntos!E17)/NºAsuntos!G17),(NºAsuntos!C17+NºAsuntos!E17)/NºAsuntos!G17," - ")</f>
        <v>3.08</v>
      </c>
      <c r="G17" s="463"/>
    </row>
    <row r="18" spans="1:7" ht="14.25" thickTop="1" thickBot="1">
      <c r="A18" s="848" t="str">
        <f>Datos!A18</f>
        <v>TOTAL</v>
      </c>
      <c r="B18" s="858">
        <f>IF(ISNUMBER(NºAsuntos!G18/NºAsuntos!E18),NºAsuntos!G18/NºAsuntos!E18," - ")</f>
        <v>1.0106666666666666</v>
      </c>
      <c r="C18" s="859">
        <f>IF(ISNUMBER(NºAsuntos!I18/NºAsuntos!G18),NºAsuntos!I18/NºAsuntos!G18," - ")</f>
        <v>3.6781002638522429</v>
      </c>
      <c r="D18" s="862">
        <f>IF(ISNUMBER('Resol  Asuntos'!D18/NºAsuntos!G18),'Resol  Asuntos'!D18/NºAsuntos!G18," - ")</f>
        <v>0.17678100263852242</v>
      </c>
      <c r="E18" s="861">
        <f>IF(ISNUMBER((NºAsuntos!C18+NºAsuntos!E18)/NºAsuntos!G18),(NºAsuntos!C18+NºAsuntos!E18)/NºAsuntos!G18," - ")</f>
        <v>4.6781002638522429</v>
      </c>
      <c r="G18" s="463"/>
    </row>
    <row r="19" spans="1:7" ht="15.75" customHeight="1" thickTop="1" thickBot="1">
      <c r="A19" s="793" t="str">
        <f>Datos!A19</f>
        <v>TOTAL JURISDICCIONES</v>
      </c>
      <c r="B19" s="808">
        <f>IF(ISNUMBER(NºAsuntos!G19/NºAsuntos!E19),NºAsuntos!G19/NºAsuntos!E19," - ")</f>
        <v>0.98717948717948723</v>
      </c>
      <c r="C19" s="809">
        <f>IF(ISNUMBER(NºAsuntos!I19/NºAsuntos!G19),NºAsuntos!I19/NºAsuntos!G19," - ")</f>
        <v>4.4818181818181815</v>
      </c>
      <c r="D19" s="810">
        <f>IF(ISNUMBER('Resol  Asuntos'!D19/NºAsuntos!G19),'Resol  Asuntos'!D19/NºAsuntos!G19," - ")</f>
        <v>0.20129870129870131</v>
      </c>
      <c r="E19" s="811">
        <f>IF(ISNUMBER((NºAsuntos!C19+NºAsuntos!E19)/NºAsuntos!G19),(NºAsuntos!C19+NºAsuntos!E19)/NºAsuntos!G19," - ")</f>
        <v>5.4818181818181815</v>
      </c>
      <c r="G19" s="463"/>
    </row>
    <row r="20" spans="1:7">
      <c r="A20" s="411"/>
      <c r="B20" s="411"/>
      <c r="C20" s="411"/>
      <c r="G20" s="463"/>
    </row>
    <row r="21" spans="1:7">
      <c r="A21" s="413"/>
      <c r="B21" s="413"/>
      <c r="C21" s="413"/>
      <c r="G21" s="463"/>
    </row>
    <row r="22" spans="1:7">
      <c r="A22" s="1197"/>
      <c r="B22" s="1197"/>
      <c r="C22" s="1197"/>
      <c r="G22" s="463"/>
    </row>
    <row r="23" spans="1:7">
      <c r="A23" s="391" t="str">
        <f>Criterios!A4</f>
        <v>Fecha Informe: 29 nov. 2024</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4ZsgYfcuZPNZ9bywb3wqRvzisarTT7sMrVl1rG7+3eUnL0KJ1I/rZI0DJIg/D2hA1rD/dqB7um7sOyal+46A4w==" saltValue="rw5y2VWaHAFo6B0bW37zag=="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ANDALUCIA</v>
      </c>
      <c r="G2" s="263"/>
      <c r="H2" s="262"/>
      <c r="I2" s="262"/>
      <c r="J2" s="262"/>
      <c r="K2" s="262"/>
      <c r="L2" s="262" t="str">
        <f>Criterios!A10 &amp;"  "&amp;Criterios!B10</f>
        <v>Provincias  HUELVA</v>
      </c>
      <c r="N2" s="262" t="str">
        <f>Criterios!A11 &amp;"  "&amp;Criterios!B11</f>
        <v>Resumenes por Partidos Judiciales  VALVERDE DEL CAMINO</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63" t="s">
        <v>351</v>
      </c>
      <c r="B5" s="272"/>
      <c r="C5" s="1266" t="str">
        <f>"Año:  " &amp;Criterios!B$5 &amp; "          Trimestre   " &amp;Criterios!D$5 &amp; " al " &amp;Criterios!D$6</f>
        <v>Año:  2024          Trimestre   3 al 3</v>
      </c>
      <c r="D5" s="1245" t="s">
        <v>376</v>
      </c>
      <c r="E5" s="1245" t="s">
        <v>318</v>
      </c>
      <c r="F5" s="1268" t="s">
        <v>406</v>
      </c>
      <c r="G5" s="1271" t="s">
        <v>128</v>
      </c>
      <c r="H5" s="1251" t="s">
        <v>160</v>
      </c>
      <c r="I5" s="1251" t="s">
        <v>164</v>
      </c>
      <c r="J5" s="1251" t="s">
        <v>165</v>
      </c>
      <c r="K5" s="1251" t="s">
        <v>407</v>
      </c>
      <c r="L5" s="1251" t="s">
        <v>587</v>
      </c>
      <c r="M5" s="1251" t="s">
        <v>322</v>
      </c>
      <c r="N5" s="1251" t="s">
        <v>377</v>
      </c>
      <c r="O5" s="1251" t="s">
        <v>409</v>
      </c>
      <c r="P5" s="1251" t="s">
        <v>163</v>
      </c>
      <c r="Q5" s="1251" t="s">
        <v>41</v>
      </c>
      <c r="R5" s="1277" t="s">
        <v>166</v>
      </c>
      <c r="S5" s="1280" t="s">
        <v>169</v>
      </c>
      <c r="T5" s="1298" t="s">
        <v>170</v>
      </c>
      <c r="U5" s="1295" t="s">
        <v>171</v>
      </c>
      <c r="V5" s="1289" t="s">
        <v>320</v>
      </c>
      <c r="W5" s="1254" t="s">
        <v>172</v>
      </c>
      <c r="X5" s="1257" t="s">
        <v>173</v>
      </c>
      <c r="Y5" s="1257" t="s">
        <v>174</v>
      </c>
      <c r="Z5" s="1292" t="s">
        <v>175</v>
      </c>
      <c r="AA5" s="1248" t="s">
        <v>176</v>
      </c>
      <c r="AB5" s="1251" t="s">
        <v>177</v>
      </c>
      <c r="AC5" s="1251" t="s">
        <v>178</v>
      </c>
      <c r="AD5" s="1260" t="s">
        <v>179</v>
      </c>
      <c r="AE5" s="1245" t="s">
        <v>182</v>
      </c>
      <c r="AF5" s="1283" t="s">
        <v>180</v>
      </c>
      <c r="AG5" s="1251" t="s">
        <v>181</v>
      </c>
      <c r="AH5" s="1277" t="s">
        <v>200</v>
      </c>
      <c r="AI5" s="1248" t="s">
        <v>183</v>
      </c>
      <c r="AJ5" s="1286" t="s">
        <v>247</v>
      </c>
      <c r="AK5" s="1274" t="s">
        <v>248</v>
      </c>
      <c r="AL5" s="1245" t="s">
        <v>249</v>
      </c>
      <c r="AM5" s="1245" t="s">
        <v>359</v>
      </c>
      <c r="AN5" s="1245" t="s">
        <v>250</v>
      </c>
      <c r="AO5" s="1245" t="s">
        <v>251</v>
      </c>
      <c r="AP5" s="1245" t="s">
        <v>301</v>
      </c>
      <c r="AQ5" s="1245" t="s">
        <v>184</v>
      </c>
      <c r="AR5" s="1245" t="s">
        <v>185</v>
      </c>
      <c r="AS5" s="1245" t="s">
        <v>388</v>
      </c>
      <c r="AT5" s="1245" t="s">
        <v>294</v>
      </c>
      <c r="AU5" s="1245" t="s">
        <v>295</v>
      </c>
      <c r="AV5" s="1245" t="s">
        <v>333</v>
      </c>
      <c r="AW5" s="1245" t="s">
        <v>838</v>
      </c>
      <c r="AX5" s="1245" t="s">
        <v>321</v>
      </c>
      <c r="AY5" s="1245" t="s">
        <v>752</v>
      </c>
      <c r="AZ5" s="1245" t="s">
        <v>753</v>
      </c>
      <c r="BF5" s="1303" t="s">
        <v>201</v>
      </c>
      <c r="BG5" s="1304"/>
      <c r="BH5" s="1303" t="s">
        <v>202</v>
      </c>
      <c r="BI5" s="1304"/>
      <c r="BJ5" s="1303" t="s">
        <v>203</v>
      </c>
      <c r="BK5" s="1304"/>
      <c r="BL5" s="1303" t="s">
        <v>204</v>
      </c>
      <c r="BM5" s="1304"/>
    </row>
    <row r="6" spans="1:65" ht="21.75" customHeight="1">
      <c r="A6" s="1264"/>
      <c r="B6" s="273"/>
      <c r="C6" s="1267"/>
      <c r="D6" s="1246"/>
      <c r="E6" s="1246"/>
      <c r="F6" s="1269"/>
      <c r="G6" s="1272"/>
      <c r="H6" s="1252"/>
      <c r="I6" s="1252"/>
      <c r="J6" s="1252"/>
      <c r="K6" s="1252"/>
      <c r="L6" s="1252"/>
      <c r="M6" s="1252"/>
      <c r="N6" s="1252"/>
      <c r="O6" s="1252"/>
      <c r="P6" s="1252"/>
      <c r="Q6" s="1252"/>
      <c r="R6" s="1278"/>
      <c r="S6" s="1281"/>
      <c r="T6" s="1299"/>
      <c r="U6" s="1296"/>
      <c r="V6" s="1290"/>
      <c r="W6" s="1255"/>
      <c r="X6" s="1258"/>
      <c r="Y6" s="1258"/>
      <c r="Z6" s="1293"/>
      <c r="AA6" s="1249"/>
      <c r="AB6" s="1252"/>
      <c r="AC6" s="1252"/>
      <c r="AD6" s="1261"/>
      <c r="AE6" s="1246"/>
      <c r="AF6" s="1284"/>
      <c r="AG6" s="1252"/>
      <c r="AH6" s="1278"/>
      <c r="AI6" s="1249"/>
      <c r="AJ6" s="1287"/>
      <c r="AK6" s="1275"/>
      <c r="AL6" s="1246"/>
      <c r="AM6" s="1246"/>
      <c r="AN6" s="1246"/>
      <c r="AO6" s="1246"/>
      <c r="AP6" s="1246"/>
      <c r="AQ6" s="1246"/>
      <c r="AR6" s="1246"/>
      <c r="AS6" s="1246"/>
      <c r="AT6" s="1246"/>
      <c r="AU6" s="1246"/>
      <c r="AV6" s="1246"/>
      <c r="AW6" s="1246"/>
      <c r="AX6" s="1246"/>
      <c r="AY6" s="1246"/>
      <c r="AZ6" s="1246"/>
      <c r="BF6" s="1301" t="s">
        <v>161</v>
      </c>
      <c r="BG6" s="1301" t="s">
        <v>162</v>
      </c>
      <c r="BH6" s="1301" t="s">
        <v>161</v>
      </c>
      <c r="BI6" s="1301" t="s">
        <v>162</v>
      </c>
      <c r="BJ6" s="1301" t="s">
        <v>161</v>
      </c>
      <c r="BK6" s="1301" t="s">
        <v>162</v>
      </c>
      <c r="BL6" s="1301" t="s">
        <v>161</v>
      </c>
      <c r="BM6" s="1301" t="s">
        <v>162</v>
      </c>
    </row>
    <row r="7" spans="1:65" ht="38.25" customHeight="1" thickBot="1">
      <c r="A7" s="1265"/>
      <c r="B7" s="274"/>
      <c r="C7" s="264" t="str">
        <f>Datos!A7</f>
        <v>COMPETENCIAS</v>
      </c>
      <c r="D7" s="1247"/>
      <c r="E7" s="1247"/>
      <c r="F7" s="1270"/>
      <c r="G7" s="1273"/>
      <c r="H7" s="1253"/>
      <c r="I7" s="1253"/>
      <c r="J7" s="1253"/>
      <c r="K7" s="1253"/>
      <c r="L7" s="1253"/>
      <c r="M7" s="1253"/>
      <c r="N7" s="1253"/>
      <c r="O7" s="1253"/>
      <c r="P7" s="1253"/>
      <c r="Q7" s="1253"/>
      <c r="R7" s="1279"/>
      <c r="S7" s="1282"/>
      <c r="T7" s="1300"/>
      <c r="U7" s="1297"/>
      <c r="V7" s="1291"/>
      <c r="W7" s="1256"/>
      <c r="X7" s="1259"/>
      <c r="Y7" s="1259"/>
      <c r="Z7" s="1294"/>
      <c r="AA7" s="1250"/>
      <c r="AB7" s="1253"/>
      <c r="AC7" s="1253"/>
      <c r="AD7" s="1262"/>
      <c r="AE7" s="1247"/>
      <c r="AF7" s="1285"/>
      <c r="AG7" s="1253"/>
      <c r="AH7" s="1279"/>
      <c r="AI7" s="1250"/>
      <c r="AJ7" s="1288"/>
      <c r="AK7" s="1276"/>
      <c r="AL7" s="1247"/>
      <c r="AM7" s="1247"/>
      <c r="AN7" s="1247"/>
      <c r="AO7" s="1247"/>
      <c r="AP7" s="1247"/>
      <c r="AQ7" s="1247"/>
      <c r="AR7" s="1247"/>
      <c r="AS7" s="1247"/>
      <c r="AT7" s="1247"/>
      <c r="AU7" s="1247"/>
      <c r="AV7" s="1247"/>
      <c r="AW7" s="1247"/>
      <c r="AX7" s="1247"/>
      <c r="AY7" s="1247"/>
      <c r="AZ7" s="1247"/>
      <c r="BF7" s="1302"/>
      <c r="BG7" s="1302"/>
      <c r="BH7" s="1302"/>
      <c r="BI7" s="1302"/>
      <c r="BJ7" s="1302"/>
      <c r="BK7" s="1302"/>
      <c r="BL7" s="1302"/>
      <c r="BM7" s="1302"/>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0</v>
      </c>
      <c r="B9" s="177" t="s">
        <v>246</v>
      </c>
      <c r="C9" s="160" t="str">
        <f>Datos!A9</f>
        <v xml:space="preserve">Jdos. 1ª Instancia   </v>
      </c>
      <c r="D9" s="160"/>
      <c r="E9" s="1025">
        <f>IF(ISNUMBER(Datos!AQ9),Datos!AQ9," - ")</f>
        <v>0</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0</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t="str">
        <f>IF(ISNUMBER(Datos!Q9),Datos!Q9," - ")</f>
        <v xml:space="preserve"> - </v>
      </c>
      <c r="Y9" s="334">
        <f>SUM(W9:X9)</f>
        <v>0</v>
      </c>
      <c r="Z9" s="335" t="str">
        <f>IF(ISNUMBER(Datos!CC9),Datos!CC9," - ")</f>
        <v xml:space="preserve"> - </v>
      </c>
      <c r="AA9" s="332" t="str">
        <f>IF(ISNUMBER(IF(J_V="SI",Datos!L9,Datos!L9+Datos!AB9)-IF(Monitorios="SI",Datos!CD9,0)),
                          IF(J_V="SI",Datos!L9,Datos!L9+Datos!AB9)-IF(Monitorios="SI",Datos!CD9,0),
                          " - ")</f>
        <v xml:space="preserve"> - </v>
      </c>
      <c r="AB9" s="334" t="str">
        <f>IF(ISNUMBER(Datos!R9),Datos!R9," - ")</f>
        <v xml:space="preserve"> - </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t="str">
        <f>IF(ISNUMBER(Datos!M9),Datos!M9," - ")</f>
        <v xml:space="preserve"> - </v>
      </c>
      <c r="AJ9" s="229" t="str">
        <f>IF(ISNUMBER(Datos!BW9),Datos!BW9," - ")</f>
        <v xml:space="preserve"> - </v>
      </c>
      <c r="AK9" s="228" t="str">
        <f>IF(ISNUMBER(Datos!BX9),Datos!BX9," - ")</f>
        <v xml:space="preserve"> - </v>
      </c>
      <c r="AL9" s="243" t="str">
        <f>IF(ISNUMBER(NºAsuntos!G9/NºAsuntos!E9),NºAsuntos!G9/NºAsuntos!E9," - ")</f>
        <v xml:space="preserve"> - </v>
      </c>
      <c r="AM9" s="260" t="str">
        <f>IF(ISNUMBER(((NºAsuntos!I9/NºAsuntos!G9)*11)/factor_trimestre),((NºAsuntos!I9/NºAsuntos!G9)*11)/factor_trimestre," - ")</f>
        <v xml:space="preserve"> - </v>
      </c>
      <c r="AN9" s="244" t="str">
        <f>IF(ISNUMBER('Resol  Asuntos'!D9/NºAsuntos!G9),'Resol  Asuntos'!D9/NºAsuntos!G9," - ")</f>
        <v xml:space="preserve"> - </v>
      </c>
      <c r="AO9" s="245" t="str">
        <f>IF(ISNUMBER((NºAsuntos!C9+NºAsuntos!E9)/NºAsuntos!G9),(NºAsuntos!C9+NºAsuntos!E9)/NºAsuntos!G9," - ")</f>
        <v xml:space="preserve"> - </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1</v>
      </c>
      <c r="B10" s="275" t="s">
        <v>246</v>
      </c>
      <c r="C10" s="7" t="str">
        <f>Datos!A10</f>
        <v>Jdos. Violencia contra la mujer</v>
      </c>
      <c r="D10" s="7"/>
      <c r="E10" s="1025">
        <f>IF(ISNUMBER(Datos!AQ10),Datos!AQ10," - ")</f>
        <v>0</v>
      </c>
      <c r="F10" s="225">
        <f>IF(ISNUMBER(Datos!L10+Datos!K10-Datos!J10-K10),Datos!L10+Datos!K10-Datos!J10-K10," - ")</f>
        <v>17</v>
      </c>
      <c r="G10" s="333">
        <f>IF(ISNUMBER(Datos!I10),Datos!I10," - ")</f>
        <v>17</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0</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2</v>
      </c>
      <c r="X10" s="226">
        <f>IF(ISNUMBER(Datos!Q10),Datos!Q10," - ")</f>
        <v>0</v>
      </c>
      <c r="Y10" s="334">
        <f t="shared" ref="Y10:Y12" si="0">SUM(W10:X10)</f>
        <v>2</v>
      </c>
      <c r="Z10" s="335" t="str">
        <f>IF(ISNUMBER(Datos!CC10),Datos!CC10," - ")</f>
        <v xml:space="preserve"> - </v>
      </c>
      <c r="AA10" s="332">
        <f>IF(ISNUMBER(Datos!L10),Datos!L10,"-")</f>
        <v>17</v>
      </c>
      <c r="AB10" s="334">
        <f>IF(ISNUMBER(Datos!R10),Datos!R10," - ")</f>
        <v>0</v>
      </c>
      <c r="AC10" s="334">
        <f t="shared" ref="AC10:AC12" si="1">IF(ISNUMBER(AA10+AB10),AA10+AB10," - ")</f>
        <v>17</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1</v>
      </c>
      <c r="AJ10" s="231" t="str">
        <f>IF(ISNUMBER(Datos!BW10),Datos!BW10," - ")</f>
        <v xml:space="preserve"> - </v>
      </c>
      <c r="AK10" s="232" t="str">
        <f>IF(ISNUMBER(Datos!BX10),Datos!BX10," - ")</f>
        <v xml:space="preserve"> - </v>
      </c>
      <c r="AL10" s="243">
        <f>IF(ISNUMBER(NºAsuntos!G10/NºAsuntos!E10),NºAsuntos!G10/NºAsuntos!E10," - ")</f>
        <v>1</v>
      </c>
      <c r="AM10" s="260">
        <f>IF(ISNUMBER(((NºAsuntos!I10/NºAsuntos!G10)*11)/factor_trimestre),((NºAsuntos!I10/NºAsuntos!G10)*11)/factor_trimestre," - ")</f>
        <v>17</v>
      </c>
      <c r="AN10" s="244">
        <f>IF(ISNUMBER('Resol  Asuntos'!D10/NºAsuntos!G10),'Resol  Asuntos'!D10/NºAsuntos!G10," - ")</f>
        <v>0.5</v>
      </c>
      <c r="AO10" s="245">
        <f>IF(ISNUMBER((NºAsuntos!C10+NºAsuntos!E10)/NºAsuntos!G10),(NºAsuntos!C10+NºAsuntos!E10)/NºAsuntos!G10," - ")</f>
        <v>9.5</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0</v>
      </c>
      <c r="B11" s="275" t="s">
        <v>246</v>
      </c>
      <c r="C11" s="7" t="str">
        <f>Datos!A11</f>
        <v xml:space="preserve">Jdos. Familia                                   </v>
      </c>
      <c r="D11" s="7"/>
      <c r="E11" s="1025">
        <f>IF(ISNUMBER(Datos!AQ11),Datos!AQ11," - ")</f>
        <v>0</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0</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t="str">
        <f>IF(ISNUMBER(Datos!Q11),Datos!Q11," - ")</f>
        <v xml:space="preserve"> - </v>
      </c>
      <c r="Y11" s="334">
        <f t="shared" si="0"/>
        <v>0</v>
      </c>
      <c r="Z11" s="335" t="str">
        <f>IF(ISNUMBER(Datos!CC11),Datos!CC11," - ")</f>
        <v xml:space="preserve"> - </v>
      </c>
      <c r="AA11" s="332" t="str">
        <f>IF(ISNUMBER(IF(J_V="SI",Datos!L11,Datos!L11+Datos!AB11)-IF(Monitorios="SI",Datos!CD11,0)),
                          IF(J_V="SI",Datos!L11,Datos!L11+Datos!AB11)-IF(Monitorios="SI",Datos!CD11,0),
                          " - ")</f>
        <v xml:space="preserve"> - </v>
      </c>
      <c r="AB11" s="334" t="str">
        <f>IF(ISNUMBER(Datos!R11),Datos!R11," - ")</f>
        <v xml:space="preserve"> - </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t="str">
        <f>IF(ISNUMBER(Datos!M11),Datos!M11," - ")</f>
        <v xml:space="preserve"> - </v>
      </c>
      <c r="AJ11" s="231" t="str">
        <f>IF(ISNUMBER(Datos!BW11),Datos!BW11," - ")</f>
        <v xml:space="preserve"> - </v>
      </c>
      <c r="AK11" s="232" t="str">
        <f>IF(ISNUMBER(Datos!BX11),Datos!BX11," - ")</f>
        <v xml:space="preserve"> - </v>
      </c>
      <c r="AL11" s="243" t="str">
        <f>IF(ISNUMBER(NºAsuntos!G11/NºAsuntos!E11),NºAsuntos!G11/NºAsuntos!E11," - ")</f>
        <v xml:space="preserve"> - </v>
      </c>
      <c r="AM11" s="260" t="str">
        <f>IF(ISNUMBER(((NºAsuntos!I11/NºAsuntos!G11)*11)/factor_trimestre),((NºAsuntos!I11/NºAsuntos!G11)*11)/factor_trimestre," - ")</f>
        <v xml:space="preserve"> - </v>
      </c>
      <c r="AN11" s="244" t="str">
        <f>IF(ISNUMBER('Resol  Asuntos'!D11/NºAsuntos!G11),'Resol  Asuntos'!D11/NºAsuntos!G11," - ")</f>
        <v xml:space="preserve"> - </v>
      </c>
      <c r="AO11" s="245" t="str">
        <f>IF(ISNUMBER((NºAsuntos!C11+NºAsuntos!E11)/NºAsuntos!G11),(NºAsuntos!C11+NºAsuntos!E11)/NºAsuntos!G11," - ")</f>
        <v xml:space="preserve"> - </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2</v>
      </c>
      <c r="B12" s="275" t="s">
        <v>246</v>
      </c>
      <c r="C12" s="7" t="str">
        <f>Datos!A12</f>
        <v xml:space="preserve">Jdos. 1ª Instª. e Instr.                        </v>
      </c>
      <c r="D12" s="7"/>
      <c r="E12" s="1025">
        <f>IF(ISNUMBER(Datos!AQ12),Datos!AQ12," - ")</f>
        <v>2</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94</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f>IF(ISNUMBER(Datos!Q12),Datos!Q12," - ")</f>
        <v>47</v>
      </c>
      <c r="Y12" s="334">
        <f t="shared" si="0"/>
        <v>47</v>
      </c>
      <c r="Z12" s="335" t="str">
        <f>IF(ISNUMBER(Datos!CC12),Datos!CC12," - ")</f>
        <v xml:space="preserve"> - </v>
      </c>
      <c r="AA12" s="332" t="str">
        <f>IF(ISNUMBER(IF(J_V="SI",Datos!L12,Datos!L12+Datos!AB12)-IF(Monitorios="SI",Datos!CD12,0)),
                          IF(J_V="SI",Datos!L12,Datos!L12+Datos!AB12)-IF(Monitorios="SI",Datos!CD12,0),
                          " - ")</f>
        <v xml:space="preserve"> - </v>
      </c>
      <c r="AB12" s="334">
        <f>IF(ISNUMBER(Datos!R12),Datos!R12," - ")</f>
        <v>2053</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f>IF(ISNUMBER(Datos!M12),Datos!M12," - ")</f>
        <v>87</v>
      </c>
      <c r="AJ12" s="229" t="str">
        <f>IF(ISNUMBER(Datos!BW12),Datos!BW12," - ")</f>
        <v xml:space="preserve"> - </v>
      </c>
      <c r="AK12" s="228" t="str">
        <f>IF(ISNUMBER(Datos!BX12),Datos!BX12," - ")</f>
        <v xml:space="preserve"> - </v>
      </c>
      <c r="AL12" s="243">
        <f>IF(ISNUMBER(NºAsuntos!G12/NºAsuntos!E12),NºAsuntos!G12/NºAsuntos!E12," - ")</f>
        <v>0.9652605459057072</v>
      </c>
      <c r="AM12" s="260">
        <f>IF(ISNUMBER(((NºAsuntos!I12/NºAsuntos!G12)*11)/factor_trimestre),((NºAsuntos!I12/NºAsuntos!G12)*11)/factor_trimestre," - ")</f>
        <v>10.488431876606684</v>
      </c>
      <c r="AN12" s="244">
        <f>IF(ISNUMBER('Resol  Asuntos'!D12/NºAsuntos!G12),'Resol  Asuntos'!D12/NºAsuntos!G12," - ")</f>
        <v>0.2236503856041131</v>
      </c>
      <c r="AO12" s="245">
        <f>IF(ISNUMBER((NºAsuntos!C12+NºAsuntos!E12)/NºAsuntos!G12),(NºAsuntos!C12+NºAsuntos!E12)/NºAsuntos!G12," - ")</f>
        <v>6.2442159383033422</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2</v>
      </c>
      <c r="F13" s="865">
        <f t="shared" si="3"/>
        <v>17</v>
      </c>
      <c r="G13" s="866">
        <f t="shared" si="3"/>
        <v>17</v>
      </c>
      <c r="H13" s="865">
        <f t="shared" si="3"/>
        <v>0</v>
      </c>
      <c r="I13" s="867">
        <f t="shared" si="3"/>
        <v>0</v>
      </c>
      <c r="J13" s="867">
        <f t="shared" si="3"/>
        <v>0</v>
      </c>
      <c r="K13" s="867">
        <f t="shared" si="3"/>
        <v>0</v>
      </c>
      <c r="L13" s="867">
        <f t="shared" si="3"/>
        <v>94</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2</v>
      </c>
      <c r="X13" s="867">
        <f t="shared" si="4"/>
        <v>47</v>
      </c>
      <c r="Y13" s="868">
        <f t="shared" si="4"/>
        <v>49</v>
      </c>
      <c r="Z13" s="868">
        <f t="shared" si="4"/>
        <v>0</v>
      </c>
      <c r="AA13" s="868">
        <f t="shared" si="4"/>
        <v>17</v>
      </c>
      <c r="AB13" s="868">
        <f t="shared" si="4"/>
        <v>2053</v>
      </c>
      <c r="AC13" s="868">
        <f t="shared" si="4"/>
        <v>17</v>
      </c>
      <c r="AD13" s="868">
        <f t="shared" si="4"/>
        <v>0</v>
      </c>
      <c r="AE13" s="872">
        <f t="shared" si="4"/>
        <v>0</v>
      </c>
      <c r="AF13" s="865">
        <f t="shared" si="4"/>
        <v>0</v>
      </c>
      <c r="AG13" s="873">
        <f t="shared" si="4"/>
        <v>0</v>
      </c>
      <c r="AH13" s="870">
        <f t="shared" si="4"/>
        <v>0</v>
      </c>
      <c r="AI13" s="865">
        <f t="shared" si="4"/>
        <v>88</v>
      </c>
      <c r="AJ13" s="867">
        <f t="shared" si="4"/>
        <v>0</v>
      </c>
      <c r="AK13" s="870">
        <f>SUBTOTAL(9,AK9:AK12)</f>
        <v>0</v>
      </c>
      <c r="AL13" s="874">
        <f>IF(ISNUMBER(NºAsuntos!G13/NºAsuntos!E13),NºAsuntos!G13/NºAsuntos!E13," - ")</f>
        <v>0.96543209876543212</v>
      </c>
      <c r="AM13" s="874">
        <f>IF(ISNUMBER(((NºAsuntos!I13/NºAsuntos!G13)*11)/factor_trimestre),((NºAsuntos!I13/NºAsuntos!G13)*11)/factor_trimestre," - ")</f>
        <v>10.521739130434783</v>
      </c>
      <c r="AN13" s="875">
        <f>IF(ISNUMBER('Resol  Asuntos'!D13/NºAsuntos!G13),'Resol  Asuntos'!D13/NºAsuntos!G13," - ")</f>
        <v>0.22506393861892582</v>
      </c>
      <c r="AO13" s="876">
        <f>IF(ISNUMBER((NºAsuntos!C13+NºAsuntos!E13)/NºAsuntos!G13),(NºAsuntos!C13+NºAsuntos!E13)/NºAsuntos!G13," - ")</f>
        <v>6.2608695652173916</v>
      </c>
      <c r="AP13" s="877" t="str">
        <f t="shared" si="2"/>
        <v xml:space="preserve"> - </v>
      </c>
      <c r="AQ13" s="877">
        <f>IF(ISNUMBER((H13-W13+K13)/(F13)),(H13-W13+K13)/(F13)," - ")</f>
        <v>-0.11764705882352941</v>
      </c>
      <c r="AR13" s="878">
        <f>IF(ISNUMBER((Datos!P13-Datos!Q13)/(Datos!R13-Datos!P13+Datos!Q13)),(Datos!P13-Datos!Q13)/(Datos!R13-Datos!P13+Datos!Q13)," - ")</f>
        <v>2.3429710867397806E-2</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0</v>
      </c>
      <c r="B15" s="275" t="s">
        <v>396</v>
      </c>
      <c r="C15" s="160" t="str">
        <f>Datos!A15</f>
        <v xml:space="preserve">Jdos. Instrucción                               </v>
      </c>
      <c r="D15" s="160"/>
      <c r="E15" s="1025">
        <f>IF(ISNUMBER(Datos!AQ15),Datos!AQ15," - ")</f>
        <v>0</v>
      </c>
      <c r="F15" s="225" t="str">
        <f>IF(ISNUMBER(AA15+W15-Datos!J15-K15),AA15+W15-Datos!J15-K15," - ")</f>
        <v xml:space="preserve"> - </v>
      </c>
      <c r="G15" s="333" t="str">
        <f>IF(ISNUMBER(IF(D_I="SI",Datos!I15,Datos!I15+Datos!AC15)),IF(D_I="SI",Datos!I15,Datos!I15+Datos!AC15)," - ")</f>
        <v xml:space="preserve"> - </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0</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t="str">
        <f>IF(ISNUMBER(IF(D_I="SI",Datos!K15,Datos!K15+Datos!AE15)),IF(D_I="SI",Datos!K15,Datos!K15+Datos!AE15)," - ")</f>
        <v xml:space="preserve"> - </v>
      </c>
      <c r="X15" s="226" t="str">
        <f>IF(ISNUMBER(Datos!Q15),Datos!Q15," - ")</f>
        <v xml:space="preserve"> - </v>
      </c>
      <c r="Y15" s="334">
        <f>SUM(W15)</f>
        <v>0</v>
      </c>
      <c r="Z15" s="335" t="str">
        <f>IF(ISNUMBER(Datos!CC15),Datos!CC15," - ")</f>
        <v xml:space="preserve"> - </v>
      </c>
      <c r="AA15" s="332" t="str">
        <f>IF(ISNUMBER(IF(D_I="SI",Datos!L15,Datos!L15+Datos!AF15)),IF(D_I="SI",Datos!L15,Datos!L15+Datos!AF15)," - ")</f>
        <v xml:space="preserve"> - </v>
      </c>
      <c r="AB15" s="334" t="str">
        <f>IF(ISNUMBER(Datos!R15),Datos!R15," - ")</f>
        <v xml:space="preserve"> - </v>
      </c>
      <c r="AC15" s="334" t="str">
        <f t="shared" ref="AC15:AC17" si="6">IF(ISNUMBER(AA15+AB15),AA15+AB15," - ")</f>
        <v xml:space="preserve"> - </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t="str">
        <f>IF(ISNUMBER(Datos!M15),Datos!M15," - ")</f>
        <v xml:space="preserve"> - </v>
      </c>
      <c r="AJ15" s="231" t="str">
        <f>IF(ISNUMBER(Datos!BW15),Datos!BW15," - ")</f>
        <v xml:space="preserve"> - </v>
      </c>
      <c r="AK15" s="232" t="str">
        <f>IF(ISNUMBER(Datos!BX15),Datos!BX15," - ")</f>
        <v xml:space="preserve"> - </v>
      </c>
      <c r="AL15" s="243" t="str">
        <f>IF(ISNUMBER(NºAsuntos!G15/NºAsuntos!E15),NºAsuntos!G15/NºAsuntos!E15," - ")</f>
        <v xml:space="preserve"> - </v>
      </c>
      <c r="AM15" s="260" t="str">
        <f>IF(ISNUMBER(((NºAsuntos!I15/NºAsuntos!G15)*11)/factor_trimestre),((NºAsuntos!I15/NºAsuntos!G15)*11)/factor_trimestre," - ")</f>
        <v xml:space="preserve"> - </v>
      </c>
      <c r="AN15" s="244" t="str">
        <f>IF(ISNUMBER('Resol  Asuntos'!D15/NºAsuntos!G15),'Resol  Asuntos'!D15/NºAsuntos!G15," - ")</f>
        <v xml:space="preserve"> - </v>
      </c>
      <c r="AO15" s="245" t="str">
        <f>IF(ISNUMBER((NºAsuntos!C15+NºAsuntos!E15)/NºAsuntos!G15),(NºAsuntos!C15+NºAsuntos!E15)/NºAsuntos!G15," - ")</f>
        <v xml:space="preserve"> - </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2</v>
      </c>
      <c r="B16" s="275" t="s">
        <v>396</v>
      </c>
      <c r="C16" s="160" t="str">
        <f>Datos!A16</f>
        <v xml:space="preserve">Jdos. 1ª Instª. e Instr.                        </v>
      </c>
      <c r="D16" s="160"/>
      <c r="E16" s="1025">
        <f>IF(ISNUMBER(Datos!AQ16),Datos!AQ16," - ")</f>
        <v>2</v>
      </c>
      <c r="F16" s="225">
        <f>IF(ISNUMBER(AA16+W16-Datos!J16-K16),AA16+W16-Datos!J16-K16," - ")</f>
        <v>1352</v>
      </c>
      <c r="G16" s="333">
        <f>IF(ISNUMBER(IF(D_I="SI",Datos!I16,Datos!I16+Datos!AC16)),IF(D_I="SI",Datos!I16,Datos!I16+Datos!AC16)," - ")</f>
        <v>1352</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6</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f>IF(ISNUMBER(IF(D_I="SI",Datos!K16,Datos!K16+Datos!AE16)),IF(D_I="SI",Datos!K16,Datos!K16+Datos!AE16)," - ")</f>
        <v>354</v>
      </c>
      <c r="X16" s="226">
        <f>IF(ISNUMBER(Datos!Q16),Datos!Q16," - ")</f>
        <v>9</v>
      </c>
      <c r="Y16" s="334">
        <f t="shared" ref="Y16:Y17" si="7">SUM(W16:X16)</f>
        <v>363</v>
      </c>
      <c r="Z16" s="335" t="str">
        <f>IF(ISNUMBER(Datos!CC16),Datos!CC16," - ")</f>
        <v xml:space="preserve"> - </v>
      </c>
      <c r="AA16" s="332">
        <f>IF(ISNUMBER(IF(D_I="SI",Datos!L16,Datos!L16+Datos!AF16)),IF(D_I="SI",Datos!L16,Datos!L16+Datos!AF16)," - ")</f>
        <v>1342</v>
      </c>
      <c r="AB16" s="334">
        <f>IF(ISNUMBER(Datos!R16),Datos!R16," - ")</f>
        <v>75</v>
      </c>
      <c r="AC16" s="334">
        <f t="shared" si="6"/>
        <v>1417</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f>IF(ISNUMBER(Datos!M16),Datos!M16," - ")</f>
        <v>62</v>
      </c>
      <c r="AJ16" s="231" t="str">
        <f>IF(ISNUMBER(Datos!BW16),Datos!BW16," - ")</f>
        <v xml:space="preserve"> - </v>
      </c>
      <c r="AK16" s="232" t="str">
        <f>IF(ISNUMBER(Datos!BX16),Datos!BX16," - ")</f>
        <v xml:space="preserve"> - </v>
      </c>
      <c r="AL16" s="243">
        <f>IF(ISNUMBER(NºAsuntos!G16/NºAsuntos!E16),NºAsuntos!G16/NºAsuntos!E16," - ")</f>
        <v>1.0290697674418605</v>
      </c>
      <c r="AM16" s="260">
        <f>IF(ISNUMBER(((NºAsuntos!I16/NºAsuntos!G16)*11)/factor_trimestre),((NºAsuntos!I16/NºAsuntos!G16)*11)/factor_trimestre," - ")</f>
        <v>7.5819209039548019</v>
      </c>
      <c r="AN16" s="244">
        <f>IF(ISNUMBER('Resol  Asuntos'!D16/NºAsuntos!G16),'Resol  Asuntos'!D16/NºAsuntos!G16," - ")</f>
        <v>0.1751412429378531</v>
      </c>
      <c r="AO16" s="245">
        <f>IF(ISNUMBER((NºAsuntos!C16+NºAsuntos!E16)/NºAsuntos!G16),(NºAsuntos!C16+NºAsuntos!E16)/NºAsuntos!G16," - ")</f>
        <v>4.7909604519774014</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1</v>
      </c>
      <c r="B17" s="275" t="s">
        <v>396</v>
      </c>
      <c r="C17" s="7" t="str">
        <f>Datos!A17</f>
        <v>Jdos. Violencia contra la mujer</v>
      </c>
      <c r="D17" s="7"/>
      <c r="E17" s="1025">
        <f>IF(ISNUMBER(Datos!AQ17),Datos!AQ17," - ")</f>
        <v>0</v>
      </c>
      <c r="F17" s="225" t="str">
        <f>IF(ISNUMBER(AA17+W17-H17-K17),AA17+W17-H17-K17," - ")</f>
        <v xml:space="preserve"> - </v>
      </c>
      <c r="G17" s="333">
        <f>IF(ISNUMBER(IF(D_I="SI",Datos!I17,Datos!I17+Datos!AC17)),IF(D_I="SI",Datos!I17,Datos!I17+Datos!AC17)," - ")</f>
        <v>46</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3</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25</v>
      </c>
      <c r="X17" s="226">
        <f>IF(ISNUMBER(Datos!Q17),Datos!Q17," - ")</f>
        <v>1</v>
      </c>
      <c r="Y17" s="334">
        <f t="shared" si="7"/>
        <v>26</v>
      </c>
      <c r="Z17" s="335" t="str">
        <f>IF(ISNUMBER(Datos!CC17),Datos!CC17," - ")</f>
        <v xml:space="preserve"> - </v>
      </c>
      <c r="AA17" s="332">
        <f>IF(ISNUMBER(Datos!L17),Datos!L17,"-")</f>
        <v>52</v>
      </c>
      <c r="AB17" s="334">
        <f>IF(ISNUMBER(Datos!R17),Datos!R17," - ")</f>
        <v>3</v>
      </c>
      <c r="AC17" s="334">
        <f t="shared" si="6"/>
        <v>55</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5</v>
      </c>
      <c r="AJ17" s="231" t="str">
        <f>IF(ISNUMBER(Datos!BW17),Datos!BW17," - ")</f>
        <v xml:space="preserve"> - </v>
      </c>
      <c r="AK17" s="232" t="str">
        <f>IF(ISNUMBER(Datos!BX17),Datos!BX17," - ")</f>
        <v xml:space="preserve"> - </v>
      </c>
      <c r="AL17" s="243">
        <f>IF(ISNUMBER(NºAsuntos!G17/NºAsuntos!E17),NºAsuntos!G17/NºAsuntos!E17," - ")</f>
        <v>0.80645161290322576</v>
      </c>
      <c r="AM17" s="260">
        <f>IF(ISNUMBER(((NºAsuntos!I17/NºAsuntos!G17)*11)/factor_trimestre),((NºAsuntos!I17/NºAsuntos!G17)*11)/factor_trimestre," - ")</f>
        <v>4.16</v>
      </c>
      <c r="AN17" s="244">
        <f>IF(ISNUMBER('Resol  Asuntos'!D17/NºAsuntos!G17),'Resol  Asuntos'!D17/NºAsuntos!G17," - ")</f>
        <v>0.2</v>
      </c>
      <c r="AO17" s="245">
        <f>IF(ISNUMBER((NºAsuntos!C17+NºAsuntos!E17)/NºAsuntos!G17),(NºAsuntos!C17+NºAsuntos!E17)/NºAsuntos!G17," - ")</f>
        <v>3.08</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2</v>
      </c>
      <c r="F18" s="865">
        <f>SUBTOTAL(9,F14:F17)</f>
        <v>1352</v>
      </c>
      <c r="G18" s="866">
        <f>SUBTOTAL(9,G15:G17)</f>
        <v>1398</v>
      </c>
      <c r="H18" s="865">
        <f t="shared" ref="H18:O18" si="10">SUBTOTAL(9,H14:H17)</f>
        <v>0</v>
      </c>
      <c r="I18" s="867">
        <f t="shared" si="10"/>
        <v>0</v>
      </c>
      <c r="J18" s="867">
        <f t="shared" si="10"/>
        <v>0</v>
      </c>
      <c r="K18" s="867">
        <f t="shared" si="10"/>
        <v>0</v>
      </c>
      <c r="L18" s="867">
        <f t="shared" si="10"/>
        <v>9</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379</v>
      </c>
      <c r="X18" s="867">
        <f t="shared" si="11"/>
        <v>10</v>
      </c>
      <c r="Y18" s="868">
        <f t="shared" si="11"/>
        <v>389</v>
      </c>
      <c r="Z18" s="868">
        <f t="shared" si="11"/>
        <v>0</v>
      </c>
      <c r="AA18" s="868">
        <f t="shared" si="11"/>
        <v>1394</v>
      </c>
      <c r="AB18" s="868">
        <f t="shared" si="11"/>
        <v>78</v>
      </c>
      <c r="AC18" s="868">
        <f t="shared" si="11"/>
        <v>1472</v>
      </c>
      <c r="AD18" s="868">
        <f t="shared" si="11"/>
        <v>0</v>
      </c>
      <c r="AE18" s="872">
        <f t="shared" si="11"/>
        <v>0</v>
      </c>
      <c r="AF18" s="865">
        <f t="shared" si="11"/>
        <v>0</v>
      </c>
      <c r="AG18" s="873">
        <f t="shared" si="11"/>
        <v>0</v>
      </c>
      <c r="AH18" s="870">
        <f t="shared" si="11"/>
        <v>0</v>
      </c>
      <c r="AI18" s="865">
        <f t="shared" si="11"/>
        <v>67</v>
      </c>
      <c r="AJ18" s="867">
        <f t="shared" si="11"/>
        <v>0</v>
      </c>
      <c r="AK18" s="870">
        <f t="shared" si="11"/>
        <v>0</v>
      </c>
      <c r="AL18" s="874">
        <f>IF(ISNUMBER(NºAsuntos!G18/NºAsuntos!E18),NºAsuntos!G18/NºAsuntos!E18," - ")</f>
        <v>1.0106666666666666</v>
      </c>
      <c r="AM18" s="874">
        <f>IF(ISNUMBER(((NºAsuntos!I18/NºAsuntos!G18)*11)/factor_trimestre),((NºAsuntos!I18/NºAsuntos!G18)*11)/factor_trimestre," - ")</f>
        <v>7.3562005277044866</v>
      </c>
      <c r="AN18" s="875">
        <f>IF(ISNUMBER('Resol  Asuntos'!D18/NºAsuntos!G18),'Resol  Asuntos'!D18/NºAsuntos!G18," - ")</f>
        <v>0.17678100263852242</v>
      </c>
      <c r="AO18" s="876">
        <f>IF(ISNUMBER((NºAsuntos!C18+NºAsuntos!E18)/NºAsuntos!G18),(NºAsuntos!C18+NºAsuntos!E18)/NºAsuntos!G18," - ")</f>
        <v>4.6781002638522429</v>
      </c>
      <c r="AP18" s="877" t="str">
        <f t="shared" si="2"/>
        <v xml:space="preserve"> - </v>
      </c>
      <c r="AQ18" s="877">
        <f>IF(ISNUMBER((H18-W18+K18)/(F18)),(H18-W18+K18)/(F18)," - ")</f>
        <v>-0.28032544378698226</v>
      </c>
      <c r="AR18" s="878">
        <f>IF(ISNUMBER((Datos!P18-Datos!Q18)/(Datos!R18-Datos!P18+Datos!Q18)),(Datos!P18-Datos!Q18)/(Datos!R18-Datos!P18+Datos!Q18)," - ")</f>
        <v>-1.2658227848101266E-2</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4</v>
      </c>
      <c r="F19" s="820">
        <f t="shared" si="13"/>
        <v>1369</v>
      </c>
      <c r="G19" s="821">
        <f t="shared" si="13"/>
        <v>1415</v>
      </c>
      <c r="H19" s="820">
        <f t="shared" si="13"/>
        <v>0</v>
      </c>
      <c r="I19" s="822">
        <f t="shared" si="13"/>
        <v>0</v>
      </c>
      <c r="J19" s="822">
        <f t="shared" si="13"/>
        <v>0</v>
      </c>
      <c r="K19" s="881">
        <f t="shared" si="13"/>
        <v>0</v>
      </c>
      <c r="L19" s="822">
        <f t="shared" si="13"/>
        <v>103</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381</v>
      </c>
      <c r="X19" s="821">
        <f t="shared" si="14"/>
        <v>57</v>
      </c>
      <c r="Y19" s="828">
        <f t="shared" si="14"/>
        <v>438</v>
      </c>
      <c r="Z19" s="828">
        <f t="shared" si="14"/>
        <v>0</v>
      </c>
      <c r="AA19" s="828">
        <f t="shared" si="14"/>
        <v>1411</v>
      </c>
      <c r="AB19" s="828">
        <f t="shared" si="14"/>
        <v>2131</v>
      </c>
      <c r="AC19" s="828">
        <f t="shared" si="14"/>
        <v>1489</v>
      </c>
      <c r="AD19" s="828">
        <f t="shared" si="14"/>
        <v>0</v>
      </c>
      <c r="AE19" s="830">
        <f t="shared" si="14"/>
        <v>0</v>
      </c>
      <c r="AF19" s="831">
        <f t="shared" si="14"/>
        <v>0</v>
      </c>
      <c r="AG19" s="832">
        <f t="shared" si="14"/>
        <v>0</v>
      </c>
      <c r="AH19" s="830">
        <f t="shared" si="14"/>
        <v>0</v>
      </c>
      <c r="AI19" s="820">
        <f t="shared" si="14"/>
        <v>155</v>
      </c>
      <c r="AJ19" s="820">
        <f t="shared" si="14"/>
        <v>0</v>
      </c>
      <c r="AK19" s="830">
        <f t="shared" si="14"/>
        <v>0</v>
      </c>
      <c r="AL19" s="884">
        <f>IF(ISNUMBER(NºAsuntos!G19/NºAsuntos!E19),NºAsuntos!G19/NºAsuntos!E19," - ")</f>
        <v>0.98717948717948723</v>
      </c>
      <c r="AM19" s="885">
        <f>IF(ISNUMBER(((NºAsuntos!I19/NºAsuntos!G19)*11)/factor_trimestre),((NºAsuntos!I19/NºAsuntos!G19)*11)/factor_trimestre," - ")</f>
        <v>8.963636363636363</v>
      </c>
      <c r="AN19" s="885">
        <f>IF(ISNUMBER('Resol  Asuntos'!D19/NºAsuntos!G19),'Resol  Asuntos'!D19/NºAsuntos!G19," - ")</f>
        <v>0.20129870129870131</v>
      </c>
      <c r="AO19" s="886">
        <f>IF(ISNUMBER((NºAsuntos!C19+NºAsuntos!E19)/NºAsuntos!G19),(NºAsuntos!C19+NºAsuntos!E19)/NºAsuntos!G19," - ")</f>
        <v>5.4818181818181815</v>
      </c>
      <c r="AP19" s="887" t="str">
        <f t="shared" si="2"/>
        <v xml:space="preserve"> - </v>
      </c>
      <c r="AQ19" s="888">
        <f>IF(OR(ISNUMBER(FIND("01",Criterios!A8,1)),ISNUMBER(FIND("02",Criterios!A8,1)),ISNUMBER(FIND("03",Criterios!A8,1)),ISNUMBER(FIND("04",Criterios!A8,1))),(I19-W19+K19)/(F19-K19),(H19-W19+K19)/(F19-K19))</f>
        <v>-0.27830533235938643</v>
      </c>
      <c r="AR19" s="889">
        <f>IF(ISNUMBER((Datos!P19-Datos!Q19)/(Datos!R19-Datos!P19+Datos!Q19)),(Datos!P19-Datos!Q19)/(Datos!R19-Datos!P19+Datos!Q19)," - ")</f>
        <v>2.2062350119904078E-2</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566</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1.0540925533894598</v>
      </c>
      <c r="F21" s="252">
        <f>IF(ISNUMBER(STDEV(F8:F18)),STDEV(F8:F18),"-")</f>
        <v>770.76260936815038</v>
      </c>
      <c r="G21" s="253">
        <f>IF(ISNUMBER(STDEV(G8:G18)),STDEV(G8:G18),"-")</f>
        <v>738.78650502022572</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195.87062056367719</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39.128846988720056</v>
      </c>
      <c r="AJ21" s="252">
        <f t="shared" si="18"/>
        <v>0</v>
      </c>
      <c r="AK21" s="254">
        <f t="shared" si="18"/>
        <v>0</v>
      </c>
      <c r="AL21" s="249">
        <f t="shared" si="18"/>
        <v>8.065300880588723E-2</v>
      </c>
      <c r="AM21" s="250">
        <f t="shared" si="18"/>
        <v>4.3602636956818843</v>
      </c>
      <c r="AN21" s="250">
        <f t="shared" si="18"/>
        <v>0.12432288355944025</v>
      </c>
      <c r="AO21" s="251">
        <f t="shared" si="18"/>
        <v>2.1801318478409439</v>
      </c>
      <c r="AP21" s="291" t="str">
        <f t="shared" si="18"/>
        <v>-</v>
      </c>
      <c r="AQ21" s="292">
        <f t="shared" si="18"/>
        <v>0.11503098916013327</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29 nov. 2024</v>
      </c>
      <c r="D30" s="120"/>
    </row>
    <row r="32" spans="1:65">
      <c r="C32" s="1"/>
      <c r="D32" s="1"/>
    </row>
  </sheetData>
  <sheetProtection algorithmName="SHA-512" hashValue="0KhDvA7LEDwbM5vFDmPMLHn+SWuS1pCRM/56MKMffrY44EzdqDfqFaDEHXXycapjD/wMPV3yNanqu0sAfyAF5w==" saltValue="jm4xSWTaEJLPj9lJ9mkfzw==" spinCount="100000" sheet="1" objects="1" scenarios="1"/>
  <mergeCells count="63">
    <mergeCell ref="BM6:BM7"/>
    <mergeCell ref="BJ5:BK5"/>
    <mergeCell ref="BL5:BM5"/>
    <mergeCell ref="BK6:BK7"/>
    <mergeCell ref="BJ6:BJ7"/>
    <mergeCell ref="BL6:BL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A5:A7"/>
    <mergeCell ref="C5:C6"/>
    <mergeCell ref="F5:F7"/>
    <mergeCell ref="L5:L7"/>
    <mergeCell ref="D5:D7"/>
    <mergeCell ref="E5:E7"/>
    <mergeCell ref="G5:G7"/>
    <mergeCell ref="H5:H7"/>
    <mergeCell ref="K5:K7"/>
    <mergeCell ref="J5:J7"/>
    <mergeCell ref="I5:I7"/>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s>
  <phoneticPr fontId="0" type="noConversion"/>
  <conditionalFormatting sqref="E15:E17 E9:E12">
    <cfRule type="cellIs" dxfId="669" priority="249" stopIfTrue="1" operator="notBetween">
      <formula>$E$25</formula>
      <formula>$E$26</formula>
    </cfRule>
  </conditionalFormatting>
  <conditionalFormatting sqref="F15:F17 F9:F12">
    <cfRule type="cellIs" dxfId="668" priority="322" stopIfTrue="1" operator="notBetween">
      <formula>$F$25</formula>
      <formula>$F$26</formula>
    </cfRule>
  </conditionalFormatting>
  <conditionalFormatting sqref="F9:G9 F10:F12 F15:F17">
    <cfRule type="expression" dxfId="667" priority="303" stopIfTrue="1">
      <formula>IF(F9&lt;&gt;G9,TRUE,FALSE)</formula>
    </cfRule>
  </conditionalFormatting>
  <conditionalFormatting sqref="G10:G12 G15:G17">
    <cfRule type="cellIs" dxfId="666" priority="305" stopIfTrue="1" operator="between">
      <formula>$G$25</formula>
      <formula>$G$26</formula>
    </cfRule>
  </conditionalFormatting>
  <conditionalFormatting sqref="H11">
    <cfRule type="cellIs" dxfId="665" priority="72" stopIfTrue="1" operator="greaterThan">
      <formula>$BG$11</formula>
    </cfRule>
    <cfRule type="cellIs" dxfId="664" priority="73" stopIfTrue="1" operator="lessThan">
      <formula>$BF$11</formula>
    </cfRule>
  </conditionalFormatting>
  <conditionalFormatting sqref="H12">
    <cfRule type="cellIs" dxfId="663" priority="70" stopIfTrue="1" operator="greaterThan">
      <formula>$BG$12</formula>
    </cfRule>
    <cfRule type="cellIs" dxfId="662" priority="71" stopIfTrue="1" operator="lessThan">
      <formula>$BF$12</formula>
    </cfRule>
  </conditionalFormatting>
  <conditionalFormatting sqref="L15:L17 L9:L12">
    <cfRule type="cellIs" dxfId="661" priority="1343" stopIfTrue="1" operator="notBetween">
      <formula>$L$25</formula>
      <formula>$L$26</formula>
    </cfRule>
  </conditionalFormatting>
  <conditionalFormatting sqref="M15:M17 M9:M12">
    <cfRule type="cellIs" dxfId="660" priority="1344" stopIfTrue="1" operator="notBetween">
      <formula>$M$25</formula>
      <formula>$M$26</formula>
    </cfRule>
  </conditionalFormatting>
  <conditionalFormatting sqref="N9">
    <cfRule type="cellIs" dxfId="659" priority="1265" stopIfTrue="1" operator="greaterThan">
      <formula>$BM$9</formula>
    </cfRule>
    <cfRule type="cellIs" dxfId="658" priority="1266" stopIfTrue="1" operator="lessThan">
      <formula>$BL$9</formula>
    </cfRule>
  </conditionalFormatting>
  <conditionalFormatting sqref="N10">
    <cfRule type="cellIs" dxfId="657" priority="1269" stopIfTrue="1" operator="greaterThan">
      <formula>$BM$10</formula>
    </cfRule>
    <cfRule type="cellIs" dxfId="656" priority="1270" stopIfTrue="1" operator="lessThan">
      <formula>$BL$10</formula>
    </cfRule>
  </conditionalFormatting>
  <conditionalFormatting sqref="N11">
    <cfRule type="cellIs" dxfId="655" priority="1273" stopIfTrue="1" operator="greaterThan">
      <formula>$BM$11</formula>
    </cfRule>
    <cfRule type="cellIs" dxfId="654" priority="1274" stopIfTrue="1" operator="lessThan">
      <formula>$BL$11</formula>
    </cfRule>
  </conditionalFormatting>
  <conditionalFormatting sqref="N11:N12">
    <cfRule type="cellIs" dxfId="653" priority="111" stopIfTrue="1" operator="greaterThan">
      <formula>$BM$9</formula>
    </cfRule>
    <cfRule type="cellIs" dxfId="652" priority="112" stopIfTrue="1" operator="lessThan">
      <formula>$BL$9</formula>
    </cfRule>
  </conditionalFormatting>
  <conditionalFormatting sqref="N12">
    <cfRule type="cellIs" dxfId="651" priority="769" stopIfTrue="1" operator="greaterThan">
      <formula>$BG$12</formula>
    </cfRule>
    <cfRule type="cellIs" dxfId="650" priority="770" stopIfTrue="1" operator="lessThan">
      <formula>$BF$12</formula>
    </cfRule>
  </conditionalFormatting>
  <conditionalFormatting sqref="N15">
    <cfRule type="cellIs" dxfId="649" priority="1289" stopIfTrue="1" operator="greaterThan">
      <formula>$BM$15</formula>
    </cfRule>
    <cfRule type="cellIs" dxfId="648" priority="1290" stopIfTrue="1" operator="lessThan">
      <formula>$BL$15</formula>
    </cfRule>
  </conditionalFormatting>
  <conditionalFormatting sqref="N16">
    <cfRule type="cellIs" dxfId="647" priority="785" stopIfTrue="1" operator="greaterThan">
      <formula>$BG$16</formula>
    </cfRule>
    <cfRule type="cellIs" dxfId="646" priority="786" stopIfTrue="1" operator="lessThan">
      <formula>$BF$16</formula>
    </cfRule>
  </conditionalFormatting>
  <conditionalFormatting sqref="N17">
    <cfRule type="cellIs" dxfId="645" priority="155" stopIfTrue="1" operator="greaterThan">
      <formula>$BM$17</formula>
    </cfRule>
    <cfRule type="cellIs" dxfId="644" priority="156" stopIfTrue="1" operator="lessThan">
      <formula>$BL$17</formula>
    </cfRule>
  </conditionalFormatting>
  <conditionalFormatting sqref="N17">
    <cfRule type="cellIs" dxfId="643" priority="127" stopIfTrue="1" operator="greaterThan">
      <formula>$BM$15</formula>
    </cfRule>
    <cfRule type="cellIs" dxfId="642" priority="128" stopIfTrue="1" operator="lessThan">
      <formula>$BL$15</formula>
    </cfRule>
  </conditionalFormatting>
  <conditionalFormatting sqref="O10">
    <cfRule type="expression" dxfId="641" priority="82" stopIfTrue="1">
      <formula>$O$12&lt;$BL$12</formula>
    </cfRule>
    <cfRule type="expression" dxfId="640" priority="83" stopIfTrue="1">
      <formula>$O$12&gt;$BM$12</formula>
    </cfRule>
  </conditionalFormatting>
  <conditionalFormatting sqref="O12">
    <cfRule type="expression" dxfId="639" priority="1721" stopIfTrue="1">
      <formula>$O$12&lt;$BL$12</formula>
    </cfRule>
    <cfRule type="expression" dxfId="638" priority="1722" stopIfTrue="1">
      <formula>$O$12&gt;$BM$12</formula>
    </cfRule>
  </conditionalFormatting>
  <conditionalFormatting sqref="O16:O17">
    <cfRule type="cellIs" dxfId="637" priority="80" stopIfTrue="1" operator="lessThan">
      <formula>$BL$16</formula>
    </cfRule>
    <cfRule type="cellIs" dxfId="636" priority="81" stopIfTrue="1" operator="greaterThan">
      <formula>$BM$16</formula>
    </cfRule>
  </conditionalFormatting>
  <conditionalFormatting sqref="P9:Q12">
    <cfRule type="cellIs" dxfId="635" priority="110" stopIfTrue="1" operator="notBetween">
      <formula>$Q$25</formula>
      <formula>$Q$26</formula>
    </cfRule>
  </conditionalFormatting>
  <conditionalFormatting sqref="P15:Q17">
    <cfRule type="cellIs" dxfId="634" priority="108" stopIfTrue="1" operator="notBetween">
      <formula>$Q$25</formula>
      <formula>$Q$26</formula>
    </cfRule>
  </conditionalFormatting>
  <conditionalFormatting sqref="R15:R17 R9:R12">
    <cfRule type="cellIs" dxfId="633" priority="1346" stopIfTrue="1" operator="notBetween">
      <formula>$R$25</formula>
      <formula>$R$26</formula>
    </cfRule>
  </conditionalFormatting>
  <conditionalFormatting sqref="S15:S17 S9:S12">
    <cfRule type="cellIs" dxfId="632" priority="1347" stopIfTrue="1" operator="notBetween">
      <formula>$S$25</formula>
      <formula>$S$26</formula>
    </cfRule>
  </conditionalFormatting>
  <conditionalFormatting sqref="T15:T17 T9:T12">
    <cfRule type="cellIs" dxfId="631" priority="1348" stopIfTrue="1" operator="notBetween">
      <formula>$T$25</formula>
      <formula>$T$26</formula>
    </cfRule>
  </conditionalFormatting>
  <conditionalFormatting sqref="V15:V17 V9:V12">
    <cfRule type="cellIs" dxfId="630" priority="85" stopIfTrue="1" operator="notBetween">
      <formula>$V$25</formula>
      <formula>$V$26</formula>
    </cfRule>
  </conditionalFormatting>
  <conditionalFormatting sqref="W15:W17 W9:W12">
    <cfRule type="cellIs" dxfId="629" priority="307" stopIfTrue="1" operator="notBetween">
      <formula>$W$25</formula>
      <formula>$W$26</formula>
    </cfRule>
  </conditionalFormatting>
  <conditionalFormatting sqref="X15:X17 X9:X12">
    <cfRule type="cellIs" dxfId="628" priority="1350" stopIfTrue="1" operator="notBetween">
      <formula>$X$25</formula>
      <formula>$X$26</formula>
    </cfRule>
  </conditionalFormatting>
  <conditionalFormatting sqref="Y15:Y17 Y9:Y12">
    <cfRule type="cellIs" dxfId="627" priority="1351" stopIfTrue="1" operator="notBetween">
      <formula>$Y$25</formula>
      <formula>$Y$26</formula>
    </cfRule>
  </conditionalFormatting>
  <conditionalFormatting sqref="Z15:Z17 Z9:Z12">
    <cfRule type="cellIs" dxfId="626" priority="1358" stopIfTrue="1" operator="notBetween">
      <formula>$Z$25</formula>
      <formula>$Z$26</formula>
    </cfRule>
  </conditionalFormatting>
  <conditionalFormatting sqref="AA15:AA17 AA9:AA12">
    <cfRule type="cellIs" dxfId="625" priority="1359" stopIfTrue="1" operator="notBetween">
      <formula>$AA$25</formula>
      <formula>$AA$26</formula>
    </cfRule>
  </conditionalFormatting>
  <conditionalFormatting sqref="AB15:AB17 AB9:AB12">
    <cfRule type="cellIs" dxfId="624" priority="1352" stopIfTrue="1" operator="notBetween">
      <formula>$AB$25</formula>
      <formula>$AB$26</formula>
    </cfRule>
  </conditionalFormatting>
  <conditionalFormatting sqref="AC15:AC17 AC9:AC12">
    <cfRule type="cellIs" dxfId="623" priority="1360" stopIfTrue="1" operator="notBetween">
      <formula>$AC$25</formula>
      <formula>$AC$26</formula>
    </cfRule>
  </conditionalFormatting>
  <conditionalFormatting sqref="AD15:AD17 AD9:AD12">
    <cfRule type="cellIs" dxfId="622" priority="1353" stopIfTrue="1" operator="notBetween">
      <formula>$AD$25</formula>
      <formula>$AD$26</formula>
    </cfRule>
  </conditionalFormatting>
  <conditionalFormatting sqref="AE15:AE17 AE9:AE12">
    <cfRule type="cellIs" dxfId="621" priority="311" stopIfTrue="1" operator="notBetween">
      <formula>$AE$25</formula>
      <formula>$AE$26</formula>
    </cfRule>
  </conditionalFormatting>
  <conditionalFormatting sqref="AF15:AF17 AF9:AF12">
    <cfRule type="cellIs" dxfId="620" priority="308" stopIfTrue="1" operator="notBetween">
      <formula>$AF$25</formula>
      <formula>$AF$26</formula>
    </cfRule>
  </conditionalFormatting>
  <conditionalFormatting sqref="AG15:AG17 AG9:AG12">
    <cfRule type="cellIs" dxfId="619" priority="1719" stopIfTrue="1" operator="notBetween">
      <formula>$AG$25</formula>
      <formula>$AG$26</formula>
    </cfRule>
  </conditionalFormatting>
  <conditionalFormatting sqref="AH15:AH17 AH9:AH12">
    <cfRule type="cellIs" dxfId="618" priority="1354" stopIfTrue="1" operator="notBetween">
      <formula>$AH$25</formula>
      <formula>$AH$26</formula>
    </cfRule>
  </conditionalFormatting>
  <conditionalFormatting sqref="AI15:AI17 AI9:AI12">
    <cfRule type="cellIs" dxfId="617" priority="310" stopIfTrue="1" operator="notBetween">
      <formula>$AI$25</formula>
      <formula>$AI$26</formula>
    </cfRule>
  </conditionalFormatting>
  <conditionalFormatting sqref="AJ15:AJ17 AJ9:AJ12">
    <cfRule type="cellIs" dxfId="616" priority="312" stopIfTrue="1" operator="notBetween">
      <formula>$AJ$25</formula>
      <formula>$AJ$26</formula>
    </cfRule>
  </conditionalFormatting>
  <conditionalFormatting sqref="AK15:AK17 AK9:AK12">
    <cfRule type="cellIs" dxfId="615" priority="1355" stopIfTrue="1" operator="notBetween">
      <formula>$AK$25</formula>
      <formula>$AK$26</formula>
    </cfRule>
  </conditionalFormatting>
  <conditionalFormatting sqref="AL15:AL17 AL9:AL12">
    <cfRule type="cellIs" dxfId="614" priority="314" stopIfTrue="1" operator="notBetween">
      <formula>$AL$25</formula>
      <formula>$AL$26</formula>
    </cfRule>
  </conditionalFormatting>
  <conditionalFormatting sqref="AM15:AM17 AM9:AM12">
    <cfRule type="cellIs" dxfId="613" priority="318" stopIfTrue="1" operator="notBetween">
      <formula>$AM$25</formula>
      <formula>$AM$26</formula>
    </cfRule>
  </conditionalFormatting>
  <conditionalFormatting sqref="AN15:AN17 AN9:AN12">
    <cfRule type="cellIs" dxfId="612" priority="319" stopIfTrue="1" operator="notBetween">
      <formula>$AN$25</formula>
      <formula>$AN$26</formula>
    </cfRule>
  </conditionalFormatting>
  <conditionalFormatting sqref="AO15:AO17 AO9:AO12">
    <cfRule type="cellIs" dxfId="611" priority="320" stopIfTrue="1" operator="notBetween">
      <formula>$AO$25</formula>
      <formula>$AO$26</formula>
    </cfRule>
  </conditionalFormatting>
  <conditionalFormatting sqref="AP15:AP17 AP9:AP12">
    <cfRule type="cellIs" dxfId="610" priority="254" stopIfTrue="1" operator="notBetween">
      <formula>$AP$25</formula>
      <formula>$AP$26</formula>
    </cfRule>
  </conditionalFormatting>
  <conditionalFormatting sqref="AQ15:AQ17 AQ9:AQ12">
    <cfRule type="cellIs" dxfId="609" priority="251" stopIfTrue="1" operator="notBetween">
      <formula>$AQ$25</formula>
      <formula>$AQ$26</formula>
    </cfRule>
  </conditionalFormatting>
  <conditionalFormatting sqref="AR15:AR17 AR9:AR12">
    <cfRule type="cellIs" dxfId="608" priority="377" stopIfTrue="1" operator="notBetween">
      <formula>$AR$25</formula>
      <formula>$AR$26</formula>
    </cfRule>
  </conditionalFormatting>
  <conditionalFormatting sqref="AS15:AS17 AS9:AS12">
    <cfRule type="cellIs" dxfId="607" priority="250" stopIfTrue="1" operator="notBetween">
      <formula>$AS$25</formula>
      <formula>$AS$26</formula>
    </cfRule>
  </conditionalFormatting>
  <conditionalFormatting sqref="AT15:AT17 AT9:AT12">
    <cfRule type="cellIs" dxfId="606" priority="1356" stopIfTrue="1" operator="notBetween">
      <formula>$AT$25</formula>
      <formula>$AT$26</formula>
    </cfRule>
  </conditionalFormatting>
  <conditionalFormatting sqref="AU15:AU17 AU9:AU12">
    <cfRule type="cellIs" dxfId="605" priority="1357" stopIfTrue="1" operator="notBetween">
      <formula>$AU$25</formula>
      <formula>$AU$26</formula>
    </cfRule>
  </conditionalFormatting>
  <conditionalFormatting sqref="AV15:AW17 AV9:AW12">
    <cfRule type="cellIs" dxfId="604" priority="1" stopIfTrue="1" operator="notBetween">
      <formula>$AV$25</formula>
      <formula>$AV$26</formula>
    </cfRule>
  </conditionalFormatting>
  <conditionalFormatting sqref="BF8:BM8 BF13:BM14 BF18:BM19">
    <cfRule type="cellIs" dxfId="603" priority="759" stopIfTrue="1" operator="equal">
      <formula>$A$31</formula>
    </cfRule>
  </conditionalFormatting>
  <conditionalFormatting sqref="BF15:BM17 BF9:BM12">
    <cfRule type="cellIs" dxfId="602" priority="758" stopIfTrue="1" operator="equal">
      <formula>$A$31</formula>
    </cfRule>
  </conditionalFormatting>
  <conditionalFormatting sqref="N10">
    <cfRule type="cellIs" dxfId="601" priority="3346" stopIfTrue="1" operator="greaterThan">
      <formula>#REF!</formula>
    </cfRule>
    <cfRule type="cellIs" dxfId="600"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ANDALUCIA</v>
      </c>
      <c r="E2" s="263"/>
    </row>
    <row r="3" spans="2:20" ht="17.25" customHeight="1">
      <c r="C3" s="267"/>
      <c r="D3" s="262" t="str">
        <f>Criterios!A10 &amp;"  "&amp;Criterios!B10</f>
        <v>Provincias  HUELVA</v>
      </c>
      <c r="E3" s="263"/>
    </row>
    <row r="4" spans="2:20" ht="17.25" customHeight="1" thickBot="1">
      <c r="D4" s="262" t="str">
        <f>Criterios!A11 &amp;"  "&amp;Criterios!B11</f>
        <v>Resumenes por Partidos Judiciales  VALVERDE DEL CAMINO</v>
      </c>
      <c r="E4" s="263"/>
    </row>
    <row r="5" spans="2:20" ht="12.75" customHeight="1">
      <c r="B5" s="272"/>
      <c r="C5" s="1266" t="str">
        <f>"Año:  " &amp;Criterios!B5 &amp; "          Trimestre   " &amp;Criterios!D5 &amp; " al " &amp;Criterios!D6</f>
        <v>Año:  2024          Trimestre   3 al 3</v>
      </c>
      <c r="D5" s="1286" t="s">
        <v>128</v>
      </c>
      <c r="E5" s="1317" t="s">
        <v>13</v>
      </c>
      <c r="F5" s="1314" t="s">
        <v>9</v>
      </c>
      <c r="G5" s="1311" t="s">
        <v>129</v>
      </c>
      <c r="H5" s="1308" t="s">
        <v>7</v>
      </c>
      <c r="I5" s="1283" t="s">
        <v>120</v>
      </c>
      <c r="J5" s="1260" t="s">
        <v>121</v>
      </c>
      <c r="K5" s="1277" t="s">
        <v>122</v>
      </c>
      <c r="M5" s="162"/>
      <c r="N5" s="170" t="s">
        <v>277</v>
      </c>
      <c r="O5" s="162"/>
      <c r="P5" s="162"/>
      <c r="Q5" s="171" t="s">
        <v>278</v>
      </c>
      <c r="R5" s="171"/>
      <c r="S5" s="169"/>
      <c r="T5" s="169"/>
    </row>
    <row r="6" spans="2:20" ht="12.75" customHeight="1">
      <c r="B6" s="273"/>
      <c r="C6" s="1267"/>
      <c r="D6" s="1287"/>
      <c r="E6" s="1318"/>
      <c r="F6" s="1315"/>
      <c r="G6" s="1312"/>
      <c r="H6" s="1309"/>
      <c r="I6" s="1284"/>
      <c r="J6" s="1261"/>
      <c r="K6" s="1278"/>
      <c r="M6" s="1322" t="s">
        <v>293</v>
      </c>
      <c r="N6" s="1322" t="s">
        <v>274</v>
      </c>
      <c r="O6" s="1322" t="s">
        <v>275</v>
      </c>
      <c r="P6" s="1322" t="s">
        <v>276</v>
      </c>
      <c r="Q6" s="1322" t="s">
        <v>293</v>
      </c>
      <c r="R6" s="1322" t="s">
        <v>274</v>
      </c>
      <c r="S6" s="1322" t="s">
        <v>275</v>
      </c>
      <c r="T6" s="1322" t="s">
        <v>276</v>
      </c>
    </row>
    <row r="7" spans="2:20" ht="23.25" customHeight="1" thickBot="1">
      <c r="B7" s="274"/>
      <c r="C7" s="264" t="str">
        <f>Datos!A7</f>
        <v>COMPETENCIAS</v>
      </c>
      <c r="D7" s="1320"/>
      <c r="E7" s="1319"/>
      <c r="F7" s="1316"/>
      <c r="G7" s="1313"/>
      <c r="H7" s="1310"/>
      <c r="I7" s="1321"/>
      <c r="J7" s="1305"/>
      <c r="K7" s="1306"/>
      <c r="M7" s="1322"/>
      <c r="N7" s="1322"/>
      <c r="O7" s="1322"/>
      <c r="P7" s="1322"/>
      <c r="Q7" s="1322"/>
      <c r="R7" s="1322"/>
      <c r="S7" s="1322"/>
      <c r="T7" s="1322"/>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t="str">
        <f>IF(ISNUMBER((Datos!M9-Datos!W9)/Datos!W9),(Datos!M9-Datos!W9)/Datos!W9," - ")</f>
        <v xml:space="preserve"> - </v>
      </c>
      <c r="I9" s="350" t="str">
        <f>IF(ISNUMBER((Tasas!C9-Datos!BE9)/Datos!BE9),(Tasas!C9-Datos!BE9)/Datos!BE9," - ")</f>
        <v xml:space="preserve"> - </v>
      </c>
      <c r="J9" s="349" t="str">
        <f>IF(ISNUMBER((Tasas!D9-Datos!BF9)/Datos!BF9),(Tasas!D9-Datos!BF9)/Datos!BF9," - ")</f>
        <v xml:space="preserve"> - </v>
      </c>
      <c r="K9" s="351" t="str">
        <f>IF(ISNUMBER((Tasas!E9-Datos!BG9)/Datos!BG9),(Tasas!E9-Datos!BG9)/Datos!BG9," - ")</f>
        <v xml:space="preserve"> - </v>
      </c>
      <c r="M9" t="e">
        <f>IF(Monitorios="SI",Datos!CE9,0)</f>
        <v>#REF!</v>
      </c>
      <c r="N9" t="e">
        <f>IF(Monitorios="SI",Datos!CF9,0)</f>
        <v>#REF!</v>
      </c>
      <c r="O9" t="e">
        <f>IF(Monitorios="SI",Datos!CG9,0)</f>
        <v>#REF!</v>
      </c>
      <c r="P9" t="e">
        <f>IF(Monitorios="SI",Datos!CH9,0)</f>
        <v>#REF!</v>
      </c>
      <c r="Q9">
        <f>IF(J_V="SI",0,Datos!AG9)</f>
        <v>0</v>
      </c>
      <c r="R9">
        <f>IF(J_V="SI",0,Datos!AH9)</f>
        <v>0</v>
      </c>
      <c r="S9">
        <f>IF(J_V="SI",0,Datos!AI9)</f>
        <v>0</v>
      </c>
      <c r="T9">
        <f>IF(J_V="SI",0,Datos!AJ9)</f>
        <v>0</v>
      </c>
    </row>
    <row r="10" spans="2:20" ht="14.25">
      <c r="B10" s="275" t="s">
        <v>246</v>
      </c>
      <c r="C10" s="7" t="str">
        <f>Datos!A10</f>
        <v>Jdos. Violencia contra la mujer</v>
      </c>
      <c r="D10" s="352">
        <f>IF(ISNUMBER((Datos!I10-Datos!S10)/Datos!S10),(Datos!I10-Datos!S10)/Datos!S10," - ")</f>
        <v>0.7</v>
      </c>
      <c r="E10" s="348">
        <f>IF(ISNUMBER((Datos!J10-Datos!T10)/Datos!T10),(Datos!J10-Datos!T10)/Datos!T10," - ")</f>
        <v>0</v>
      </c>
      <c r="F10" s="348">
        <f>IF(ISNUMBER((Datos!K10-Datos!U10)/Datos!U10),(Datos!K10-Datos!U10)/Datos!U10," - ")</f>
        <v>-0.33333333333333331</v>
      </c>
      <c r="G10" s="349">
        <f>IF(ISNUMBER((Datos!L10-Datos!V10)/Datos!V10),(Datos!L10-Datos!V10)/Datos!V10," - ")</f>
        <v>0.88888888888888884</v>
      </c>
      <c r="H10" s="230">
        <f>IF(ISNUMBER((Datos!M10-Datos!W10)/Datos!W10),(Datos!M10-Datos!W10)/Datos!W10," - ")</f>
        <v>-0.66666666666666663</v>
      </c>
      <c r="I10" s="350">
        <f>IF(ISNUMBER((Tasas!C10-Datos!BE10)/Datos!BE10),(Tasas!C10-Datos!BE10)/Datos!BE10," - ")</f>
        <v>1.8333333333333333</v>
      </c>
      <c r="J10" s="349">
        <f>IF(ISNUMBER((Tasas!D10-Datos!BF10)/Datos!BF10),(Tasas!D10-Datos!BF10)/Datos!BF10," - ")</f>
        <v>-0.5</v>
      </c>
      <c r="K10" s="351">
        <f>IF(ISNUMBER((Tasas!E10-Datos!BG10)/Datos!BG10),(Tasas!E10-Datos!BG10)/Datos!BG10," - ")</f>
        <v>1.375</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t="str">
        <f>IF(ISNUMBER((Datos!M11-Datos!W11)/Datos!W11),(Datos!M11-Datos!W11)/Datos!W11," - ")</f>
        <v xml:space="preserve"> - </v>
      </c>
      <c r="I11" s="350" t="str">
        <f>IF(ISNUMBER((Tasas!C11-Datos!BE11)/Datos!BE11),(Tasas!C11-Datos!BE11)/Datos!BE11," - ")</f>
        <v xml:space="preserve"> - </v>
      </c>
      <c r="J11" s="349" t="str">
        <f>IF(ISNUMBER((Tasas!D11-Datos!BF11)/Datos!BF11),(Tasas!D11-Datos!BF11)/Datos!BF11," - ")</f>
        <v xml:space="preserve"> - </v>
      </c>
      <c r="K11" s="351" t="str">
        <f>IF(ISNUMBER((Tasas!E11-Datos!BG11)/Datos!BG11),(Tasas!E11-Datos!BG11)/Datos!BG11," - ")</f>
        <v xml:space="preserve"> - </v>
      </c>
      <c r="M11" t="e">
        <f>IF(Monitorios="SI",Datos!CE11,0)</f>
        <v>#REF!</v>
      </c>
      <c r="N11" t="e">
        <f>IF(Monitorios="SI",Datos!CF11,0)</f>
        <v>#REF!</v>
      </c>
      <c r="O11" t="e">
        <f>IF(Monitorios="SI",Datos!CG11,0)</f>
        <v>#REF!</v>
      </c>
      <c r="P11" t="e">
        <f>IF(Monitorios="SI",Datos!CH11,0)</f>
        <v>#REF!</v>
      </c>
      <c r="Q11">
        <f>IF(J_V="SI",0,Datos!AG11)</f>
        <v>0</v>
      </c>
      <c r="R11">
        <f>IF(J_V="SI",0,Datos!AH11)</f>
        <v>0</v>
      </c>
      <c r="S11">
        <f>IF(J_V="SI",0,Datos!AI11)</f>
        <v>0</v>
      </c>
      <c r="T11">
        <f>IF(J_V="SI",0,Datos!AJ11)</f>
        <v>0</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f>IF(ISNUMBER((Datos!M12-Datos!W12)/Datos!W12),(Datos!M12-Datos!W12)/Datos!W12," - ")</f>
        <v>0.8125</v>
      </c>
      <c r="I12" s="350">
        <f>IF(ISNUMBER((Tasas!C12-Datos!BE12)/Datos!BE12),(Tasas!C12-Datos!BE12)/Datos!BE12," - ")</f>
        <v>-0.22824006630998342</v>
      </c>
      <c r="J12" s="349">
        <f>IF(ISNUMBER((Tasas!D12-Datos!BF12)/Datos!BF12),(Tasas!D12-Datos!BF12)/Datos!BF12," - ")</f>
        <v>-0.58710698042317577</v>
      </c>
      <c r="K12" s="351">
        <f>IF(ISNUMBER((Tasas!E12-Datos!BG12)/Datos!BG12),(Tasas!E12-Datos!BG12)/Datos!BG12," - ")</f>
        <v>-0.19896027161186527</v>
      </c>
      <c r="M12" t="e">
        <f>IF(Monitorios="SI",Datos!CE12,0)</f>
        <v>#REF!</v>
      </c>
      <c r="N12" t="e">
        <f>IF(Monitorios="SI",Datos!CF12,0)</f>
        <v>#REF!</v>
      </c>
      <c r="O12" t="e">
        <f>IF(Monitorios="SI",Datos!CG12,0)</f>
        <v>#REF!</v>
      </c>
      <c r="P12" t="e">
        <f>IF(Monitorios="SI",Datos!CH12,0)</f>
        <v>#REF!</v>
      </c>
      <c r="Q12">
        <f>IF(J_V="SI",0,Datos!AG12)</f>
        <v>67</v>
      </c>
      <c r="R12">
        <f>IF(J_V="SI",0,Datos!AH12)</f>
        <v>22</v>
      </c>
      <c r="S12">
        <f>IF(J_V="SI",0,Datos!AI12)</f>
        <v>14</v>
      </c>
      <c r="T12">
        <f>IF(J_V="SI",0,Datos!AJ12)</f>
        <v>75</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0.72549019607843135</v>
      </c>
      <c r="I13" s="357">
        <f>IF(ISNUMBER((Tasas!C13-Datos!BE13)/Datos!BE13),(Tasas!C13-Datos!BE13)/Datos!BE13," - ")</f>
        <v>-0.22130567473130164</v>
      </c>
      <c r="J13" s="355">
        <f>IF(ISNUMBER((Tasas!D13-Datos!BF13)/Datos!BF13),(Tasas!D13-Datos!BF13)/Datos!BF13," - ")</f>
        <v>-0.58809052743328671</v>
      </c>
      <c r="K13" s="358">
        <f>IF(ISNUMBER((Tasas!E13-Datos!BG13)/Datos!BG13),(Tasas!E13-Datos!BG13)/Datos!BG13," - ")</f>
        <v>-0.19277224480360614</v>
      </c>
      <c r="M13" t="e">
        <f>IF(Monitorios="SI",Datos!CE13,0)</f>
        <v>#REF!</v>
      </c>
      <c r="N13" t="e">
        <f>IF(Monitorios="SI",Datos!CF13,0)</f>
        <v>#REF!</v>
      </c>
      <c r="O13" t="e">
        <f>IF(Monitorios="SI",Datos!CG13,0)</f>
        <v>#REF!</v>
      </c>
      <c r="P13" t="e">
        <f>IF(Monitorios="SI",Datos!CH13,0)</f>
        <v>#REF!</v>
      </c>
      <c r="Q13">
        <f>IF(J_V="SI",0,Datos!AG13)</f>
        <v>67</v>
      </c>
      <c r="R13">
        <f>IF(J_V="SI",0,Datos!AH13)</f>
        <v>22</v>
      </c>
      <c r="S13">
        <f>IF(J_V="SI",0,Datos!AI13)</f>
        <v>14</v>
      </c>
      <c r="T13">
        <f>IF(J_V="SI",0,Datos!AJ13)</f>
        <v>75</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t="str">
        <f>IF(ISNUMBER(
   IF(D_I="SI",(Datos!I15-Datos!S15)/Datos!S15,(Datos!I15+Datos!AC15-(Datos!S15+Datos!AK15))/(Datos!S15+Datos!AK15))
     ),IF(D_I="SI",(Datos!I15-Datos!S15)/Datos!S15,(Datos!I15+Datos!AC15-(Datos!S15+Datos!AK15))/(Datos!S15+Datos!AK15))," - ")</f>
        <v xml:space="preserve"> - </v>
      </c>
      <c r="E15" s="348" t="str">
        <f>IF(ISNUMBER(
   IF(D_I="SI",(Datos!J15-Datos!T15)/Datos!T15,(Datos!J15+Datos!AD15-(Datos!T15+Datos!AL15))/(Datos!T15+Datos!AL15))
     ),IF(D_I="SI",(Datos!J15-Datos!T15)/Datos!T15,(Datos!J15+Datos!AD15-(Datos!T15+Datos!AL15))/(Datos!T15+Datos!AL15))," - ")</f>
        <v xml:space="preserve"> - </v>
      </c>
      <c r="F15" s="348" t="str">
        <f>IF(ISNUMBER(
   IF(D_I="SI",(Datos!K15-Datos!U15)/Datos!U15,(Datos!K15+Datos!AE15-(Datos!U15+Datos!AM15))/(Datos!U15+Datos!AM15))
     ),IF(D_I="SI",(Datos!K15-Datos!U15)/Datos!U15,(Datos!K15+Datos!AE15-(Datos!U15+Datos!AM15))/(Datos!U15+Datos!AM15))," - ")</f>
        <v xml:space="preserve"> - </v>
      </c>
      <c r="G15" s="349" t="str">
        <f>IF(ISNUMBER(
   IF(D_I="SI",(Datos!L15-Datos!V15)/Datos!V15,(Datos!L15+Datos!AF15-(Datos!V15+Datos!AN15))/(Datos!V15+Datos!AN15))
     ),IF(D_I="SI",(Datos!L15-Datos!V15)/Datos!V15,(Datos!L15+Datos!AF15-(Datos!V15+Datos!AN15))/(Datos!V15+Datos!AN15))," - ")</f>
        <v xml:space="preserve"> - </v>
      </c>
      <c r="H15" s="230" t="str">
        <f>IF(ISNUMBER((Datos!M15-Datos!W15)/Datos!W15),(Datos!M15-Datos!W15)/Datos!W15," - ")</f>
        <v xml:space="preserve"> - </v>
      </c>
      <c r="I15" s="350" t="str">
        <f>IF(ISNUMBER((Tasas!C15-Datos!BE15)/Datos!BE15),(Tasas!C15-Datos!BE15)/Datos!BE15," - ")</f>
        <v xml:space="preserve"> - </v>
      </c>
      <c r="J15" s="349" t="str">
        <f>IF(ISNUMBER((Tasas!D15-Datos!BF15)/Datos!BF15),(Tasas!D15-Datos!BF15)/Datos!BF15," - ")</f>
        <v xml:space="preserve"> - </v>
      </c>
      <c r="K15" s="351" t="str">
        <f>IF(ISNUMBER((Tasas!E15-Datos!BG15)/Datos!BG15),(Tasas!E15-Datos!BG15)/Datos!BG15," - ")</f>
        <v xml:space="preserve"> - </v>
      </c>
    </row>
    <row r="16" spans="2:20" ht="14.25">
      <c r="B16" s="275" t="s">
        <v>396</v>
      </c>
      <c r="C16" s="7" t="str">
        <f>Datos!A16</f>
        <v xml:space="preserve">Jdos. 1ª Instª. e Instr.                        </v>
      </c>
      <c r="D16" s="352">
        <f>IF(ISNUMBER(
   IF(D_I="SI",(Datos!I16-Datos!S16)/Datos!S16,(Datos!I16+Datos!AC16-(Datos!S16+Datos!AK16))/(Datos!S16+Datos!AK16))
     ),IF(D_I="SI",(Datos!I16-Datos!S16)/Datos!S16,(Datos!I16+Datos!AC16-(Datos!S16+Datos!AK16))/(Datos!S16+Datos!AK16))," - ")</f>
        <v>0.7931034482758621</v>
      </c>
      <c r="E16" s="348">
        <f>IF(ISNUMBER(
   IF(D_I="SI",(Datos!J16-Datos!T16)/Datos!T16,(Datos!J16+Datos!AD16-(Datos!T16+Datos!AL16))/(Datos!T16+Datos!AL16))
     ),IF(D_I="SI",(Datos!J16-Datos!T16)/Datos!T16,(Datos!J16+Datos!AD16-(Datos!T16+Datos!AL16))/(Datos!T16+Datos!AL16))," - ")</f>
        <v>-0.50217076700434149</v>
      </c>
      <c r="F16" s="348">
        <f>IF(ISNUMBER(
   IF(D_I="SI",(Datos!K16-Datos!U16)/Datos!U16,(Datos!K16+Datos!AE16-(Datos!U16+Datos!AM16))/(Datos!U16+Datos!AM16))
     ),IF(D_I="SI",(Datos!K16-Datos!U16)/Datos!U16,(Datos!K16+Datos!AE16-(Datos!U16+Datos!AM16))/(Datos!U16+Datos!AM16))," - ")</f>
        <v>0.62385321100917435</v>
      </c>
      <c r="G16" s="349">
        <f>IF(ISNUMBER(
   IF(D_I="SI",(Datos!L16-Datos!V16)/Datos!V16,(Datos!L16+Datos!AF16-(Datos!V16+Datos!AN16))/(Datos!V16+Datos!AN16))
     ),IF(D_I="SI",(Datos!L16-Datos!V16)/Datos!V16,(Datos!L16+Datos!AF16-(Datos!V16+Datos!AN16))/(Datos!V16+Datos!AN16))," - ")</f>
        <v>9.3724531377343115E-2</v>
      </c>
      <c r="H16" s="230">
        <f>IF(ISNUMBER((Datos!M16-Datos!W16)/Datos!W16),(Datos!M16-Datos!W16)/Datos!W16," - ")</f>
        <v>1.3846153846153846</v>
      </c>
      <c r="I16" s="350">
        <f>IF(ISNUMBER((Tasas!C16-Datos!BE16)/Datos!BE16),(Tasas!C16-Datos!BE16)/Datos!BE16," - ")</f>
        <v>-0.32646342418005425</v>
      </c>
      <c r="J16" s="349">
        <f>IF(ISNUMBER((Tasas!D16-Datos!BF16)/Datos!BF16),(Tasas!D16-Datos!BF16)/Datos!BF16," - ")</f>
        <v>0.46849196001738364</v>
      </c>
      <c r="K16" s="351">
        <f>IF(ISNUMBER((Tasas!E16-Datos!BG16)/Datos!BG16),(Tasas!E16-Datos!BG16)/Datos!BG16," - ")</f>
        <v>-0.2772115027466619</v>
      </c>
    </row>
    <row r="17" spans="2:20" ht="15" thickBot="1">
      <c r="B17" s="275" t="s">
        <v>396</v>
      </c>
      <c r="C17" s="7" t="str">
        <f>Datos!A17</f>
        <v>Jdos. Violencia contra la mujer</v>
      </c>
      <c r="D17" s="352">
        <f>IF(ISNUMBER(
   IF(D_I="SI",(Datos!I17-Datos!S17)/Datos!S17,(Datos!I17+Datos!AC17-(Datos!S17+Datos!AK17))/(Datos!S17+Datos!AK17))
     ),IF(D_I="SI",(Datos!I17-Datos!S17)/Datos!S17,(Datos!I17+Datos!AC17-(Datos!S17+Datos!AK17))/(Datos!S17+Datos!AK17))," - ")</f>
        <v>0.39393939393939392</v>
      </c>
      <c r="E17" s="348">
        <f>IF(ISNUMBER(
   IF(D_I="SI",(Datos!J17-Datos!T17)/Datos!T17,(Datos!J17+Datos!AD17-(Datos!T17+Datos!AL17))/(Datos!T17+Datos!AL17))
     ),IF(D_I="SI",(Datos!J17-Datos!T17)/Datos!T17,(Datos!J17+Datos!AD17-(Datos!T17+Datos!AL17))/(Datos!T17+Datos!AL17))," - ")</f>
        <v>-0.31111111111111112</v>
      </c>
      <c r="F17" s="348">
        <f>IF(ISNUMBER(
   IF(D_I="SI",(Datos!K17-Datos!U17)/Datos!U17,(Datos!K17+Datos!AE17-(Datos!U17+Datos!AM17))/(Datos!U17+Datos!AM17))
     ),IF(D_I="SI",(Datos!K17-Datos!U17)/Datos!U17,(Datos!K17+Datos!AE17-(Datos!U17+Datos!AM17))/(Datos!U17+Datos!AM17))," - ")</f>
        <v>-0.45652173913043476</v>
      </c>
      <c r="G17" s="349">
        <f>IF(ISNUMBER(
   IF(D_I="SI",(Datos!L17-Datos!V17)/Datos!V17,(Datos!L17+Datos!AF17-(Datos!V17+Datos!AN17))/(Datos!V17+Datos!AN17))
     ),IF(D_I="SI",(Datos!L17-Datos!V17)/Datos!V17,(Datos!L17+Datos!AF17-(Datos!V17+Datos!AN17))/(Datos!V17+Datos!AN17))," - ")</f>
        <v>0.625</v>
      </c>
      <c r="H17" s="230">
        <f>IF(ISNUMBER((Datos!M17-Datos!W17)/Datos!W17),(Datos!M17-Datos!W17)/Datos!W17," - ")</f>
        <v>0.66666666666666663</v>
      </c>
      <c r="I17" s="350">
        <f>IF(ISNUMBER((Tasas!C17-Datos!BE17)/Datos!BE17),(Tasas!C17-Datos!BE17)/Datos!BE17," - ")</f>
        <v>1.9900000000000002</v>
      </c>
      <c r="J17" s="349">
        <f>IF(ISNUMBER((Tasas!D17-Datos!BF17)/Datos!BF17),(Tasas!D17-Datos!BF17)/Datos!BF17," - ")</f>
        <v>2.0666666666666669</v>
      </c>
      <c r="K17" s="351">
        <f>IF(ISNUMBER((Tasas!E17-Datos!BG17)/Datos!BG17),(Tasas!E17-Datos!BG17)/Datos!BG17," - ")</f>
        <v>0.81641025641025644</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0.77636594663278269</v>
      </c>
      <c r="E18" s="354">
        <f>IF(ISNUMBER(
   IF(D_I="SI",(Datos!J18-Datos!T18)/Datos!T18,(Datos!J18+Datos!AD18-(Datos!T18+Datos!AL18))/(Datos!T18+Datos!AL18))
     ),IF(D_I="SI",(Datos!J18-Datos!T18)/Datos!T18,(Datos!J18+Datos!AD18-(Datos!T18+Datos!AL18))/(Datos!T18+Datos!AL18))," - ")</f>
        <v>-0.49048913043478259</v>
      </c>
      <c r="F18" s="354">
        <f>IF(ISNUMBER(
   IF(D_I="SI",(Datos!K18-Datos!U18)/Datos!U18,(Datos!K18+Datos!AE18-(Datos!U18+Datos!AM18))/(Datos!U18+Datos!AM18))
     ),IF(D_I="SI",(Datos!K18-Datos!U18)/Datos!U18,(Datos!K18+Datos!AE18-(Datos!U18+Datos!AM18))/(Datos!U18+Datos!AM18))," - ")</f>
        <v>0.43560606060606061</v>
      </c>
      <c r="G18" s="355">
        <f>IF(ISNUMBER(
   IF(D_I="SI",(Datos!L18-Datos!V18)/Datos!V18,(Datos!L18+Datos!AF18-(Datos!V18+Datos!AN18))/(Datos!V18+Datos!AN18))
     ),IF(D_I="SI",(Datos!L18-Datos!V18)/Datos!V18,(Datos!L18+Datos!AF18-(Datos!V18+Datos!AN18))/(Datos!V18+Datos!AN18))," - ")</f>
        <v>0.10722795869737888</v>
      </c>
      <c r="H18" s="356">
        <f>IF(ISNUMBER((Datos!M18-Datos!W18)/Datos!W18),(Datos!M18-Datos!W18)/Datos!W18," - ")</f>
        <v>1.3103448275862069</v>
      </c>
      <c r="I18" s="357">
        <f>IF(ISNUMBER((Tasas!C18-Datos!BE18)/Datos!BE18),(Tasas!C18-Datos!BE18)/Datos!BE18," - ")</f>
        <v>-0.22873830845354076</v>
      </c>
      <c r="J18" s="355">
        <f>IF(ISNUMBER((Tasas!D18-Datos!BF18)/Datos!BF18),(Tasas!D18-Datos!BF18)/Datos!BF18," - ")</f>
        <v>0.60931671367482476</v>
      </c>
      <c r="K18" s="358">
        <f>IF(ISNUMBER((Tasas!E18-Datos!BG18)/Datos!BG18),(Tasas!E18-Datos!BG18)/Datos!BG18," - ")</f>
        <v>-0.18908833246422049</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0.2858744394618834</v>
      </c>
      <c r="E19" s="363">
        <f>IF(ISNUMBER(
   IF(J_V="SI",(Datos!J19-Datos!T19)/Datos!T19,(Datos!J19+Datos!Z19-(Datos!T19+Datos!AH19))/(Datos!T19+Datos!AH19))
     ),IF(J_V="SI",(Datos!J19-Datos!T19)/Datos!T19,(Datos!J19+Datos!Z19-(Datos!T19+Datos!AH19))/(Datos!T19+Datos!AH19))," - ")</f>
        <v>-0.29347826086956524</v>
      </c>
      <c r="F19" s="363">
        <f>IF(ISNUMBER(
   IF(J_V="SI",(Datos!K19-Datos!U19)/Datos!U19,(Datos!K19+Datos!AA19-(Datos!U19+Datos!AI19))/(Datos!U19+Datos!AI19))
     ),IF(J_V="SI",(Datos!K19-Datos!U19)/Datos!U19,(Datos!K19+Datos!AA19-(Datos!U19+Datos!AI19))/(Datos!U19+Datos!AI19))," - ")</f>
        <v>0.38738738738738737</v>
      </c>
      <c r="G19" s="364">
        <f>IF(ISNUMBER(
   IF(J_V="SI",(Datos!L19-Datos!V19)/Datos!V19,(Datos!L19+Datos!AB19-(Datos!V19+Datos!AJ19))/(Datos!V19+Datos!AJ19))
     ),IF(J_V="SI",(Datos!L19-Datos!V19)/Datos!V19,(Datos!L19+Datos!AB19-(Datos!V19+Datos!AJ19))/(Datos!V19+Datos!AJ19))," - ")</f>
        <v>7.0077519379844966E-2</v>
      </c>
      <c r="H19" s="365">
        <f>IF(ISNUMBER((Datos!M19-Datos!W19)/Datos!W19),(Datos!M19-Datos!W19)/Datos!W19," - ")</f>
        <v>0.9375</v>
      </c>
      <c r="I19" s="362">
        <f>IF(ISNUMBER((Tasas!C19-Datos!BE19)/Datos!BE19),(Tasas!C19-Datos!BE19)/Datos!BE19," - ")</f>
        <v>-0.22871035940803386</v>
      </c>
      <c r="J19" s="363">
        <f>IF(ISNUMBER((Tasas!D19-Datos!BF19)/Datos!BF19),(Tasas!D19-Datos!BF19)/Datos!BF19," - ")</f>
        <v>-0.40574053605968491</v>
      </c>
      <c r="K19" s="364">
        <f>IF(ISNUMBER((Tasas!E19-Datos!BG19)/Datos!BG19),(Tasas!E19-Datos!BG19)/Datos!BG19," - ")</f>
        <v>-0.19512987012987015</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0.18574966552430452</v>
      </c>
      <c r="E21" s="278">
        <f t="shared" si="1"/>
        <v>0.2342295733400343</v>
      </c>
      <c r="F21" s="278">
        <f t="shared" si="1"/>
        <v>0.54169397027071486</v>
      </c>
      <c r="G21" s="279">
        <f t="shared" si="1"/>
        <v>0.39406443675579184</v>
      </c>
      <c r="H21" s="285">
        <f t="shared" si="1"/>
        <v>0.73800175711136939</v>
      </c>
      <c r="I21" s="277">
        <f t="shared" si="1"/>
        <v>1.1186696903333317</v>
      </c>
      <c r="J21" s="278">
        <f t="shared" si="1"/>
        <v>1.0433227243136944</v>
      </c>
      <c r="K21" s="279">
        <f t="shared" si="1"/>
        <v>0.70002593428908422</v>
      </c>
    </row>
    <row r="22" spans="2:20" ht="13.5" thickTop="1">
      <c r="C22" s="1307"/>
      <c r="D22" s="1307"/>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29 nov. 2024</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gUjXqpTo+lICwlbMvNTe9eT96CZY8BBviRteHg1UDfN0HMtkWsaxYb06d0QirNXilL3Z31qeqnoObhkZmqhOsQ==" saltValue="sS983miczMfqNQs1Ms7v+Q==" spinCount="100000" sheet="1" objects="1" scenarios="1"/>
  <mergeCells count="18">
    <mergeCell ref="R6:R7"/>
    <mergeCell ref="S6:S7"/>
    <mergeCell ref="T6:T7"/>
    <mergeCell ref="M6:M7"/>
    <mergeCell ref="Q6:Q7"/>
    <mergeCell ref="N6:N7"/>
    <mergeCell ref="O6:O7"/>
    <mergeCell ref="P6:P7"/>
    <mergeCell ref="J5:J7"/>
    <mergeCell ref="K5:K7"/>
    <mergeCell ref="C22:D22"/>
    <mergeCell ref="C5:C6"/>
    <mergeCell ref="H5:H7"/>
    <mergeCell ref="G5:G7"/>
    <mergeCell ref="F5:F7"/>
    <mergeCell ref="E5:E7"/>
    <mergeCell ref="D5:D7"/>
    <mergeCell ref="I5:I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BZ39"/>
  <sheetViews>
    <sheetView zoomScale="82" zoomScaleNormal="82" workbookViewId="0">
      <selection activeCell="B1" sqref="B1"/>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35" width="11.42578125" style="1026"/>
    <col min="36" max="77" width="11.42578125" style="1026" customWidth="1"/>
    <col min="78" max="78" width="0" style="1026" hidden="1" customWidth="1"/>
    <col min="79" max="16384" width="11.42578125" style="1026"/>
  </cols>
  <sheetData>
    <row r="1" spans="1:78" ht="108" customHeight="1">
      <c r="A1" s="1026"/>
    </row>
    <row r="2" spans="1:78">
      <c r="B2" s="494"/>
      <c r="E2" s="1028"/>
    </row>
    <row r="3" spans="1:78" s="471" customFormat="1" ht="13.5" thickBot="1">
      <c r="A3" s="487"/>
      <c r="B3" s="488" t="s">
        <v>355</v>
      </c>
      <c r="E3" s="494"/>
    </row>
    <row r="4" spans="1:78" s="471" customFormat="1" ht="15.75" thickBot="1">
      <c r="A4" s="1085" t="s">
        <v>360</v>
      </c>
      <c r="B4" s="1096" t="str">
        <f>Criterios!B9</f>
        <v>ANDALUCIA</v>
      </c>
      <c r="C4" s="1086"/>
      <c r="D4" s="1086"/>
      <c r="E4" s="1087"/>
      <c r="F4" s="1086"/>
      <c r="G4" s="543"/>
      <c r="H4" s="1349" t="s">
        <v>361</v>
      </c>
      <c r="I4" s="1350"/>
      <c r="J4" s="1350"/>
      <c r="K4" s="1350"/>
      <c r="L4" s="1350"/>
      <c r="M4" s="1088"/>
      <c r="N4" s="1349" t="s">
        <v>362</v>
      </c>
      <c r="O4" s="1350"/>
      <c r="P4" s="1350"/>
      <c r="Q4" s="1350"/>
      <c r="R4" s="1350"/>
      <c r="S4" s="1350"/>
      <c r="T4" s="1350"/>
      <c r="U4" s="1350"/>
      <c r="V4" s="1350"/>
      <c r="W4" s="1350"/>
      <c r="X4" s="1350"/>
      <c r="Y4" s="1350"/>
      <c r="Z4" s="1350"/>
      <c r="AA4" s="1350"/>
      <c r="AB4" s="1350"/>
      <c r="AC4" s="1350"/>
      <c r="AD4" s="1351"/>
    </row>
    <row r="5" spans="1:78" s="471" customFormat="1" ht="15.75" customHeight="1">
      <c r="A5" s="1333" t="s">
        <v>351</v>
      </c>
      <c r="B5" s="1335" t="str">
        <f>"Año:  " &amp;Criterios!B5 &amp; "      Trimestre   " &amp;Criterios!D5 &amp; " al " &amp;Criterios!D6</f>
        <v>Año:  2024      Trimestre   3 al 3</v>
      </c>
      <c r="C5" s="1323" t="s">
        <v>261</v>
      </c>
      <c r="D5" s="1325" t="s">
        <v>128</v>
      </c>
      <c r="E5" s="1325" t="s">
        <v>92</v>
      </c>
      <c r="F5" s="1329" t="s">
        <v>9</v>
      </c>
      <c r="G5" s="1328"/>
      <c r="H5" s="1352" t="s">
        <v>356</v>
      </c>
      <c r="I5" s="1331" t="s">
        <v>358</v>
      </c>
      <c r="J5" s="1352" t="s">
        <v>357</v>
      </c>
      <c r="K5" s="1327" t="s">
        <v>302</v>
      </c>
      <c r="L5" s="1327" t="s">
        <v>359</v>
      </c>
      <c r="M5" s="1327" t="s">
        <v>353</v>
      </c>
      <c r="N5" s="1339"/>
      <c r="O5" s="1340"/>
      <c r="Q5" s="1343" t="s">
        <v>452</v>
      </c>
      <c r="R5" s="1344"/>
      <c r="S5" s="1345"/>
      <c r="T5" s="1343"/>
      <c r="U5" s="1344"/>
      <c r="V5" s="1345"/>
      <c r="W5" s="1343" t="s">
        <v>272</v>
      </c>
      <c r="X5" s="1344"/>
      <c r="Y5" s="1344"/>
      <c r="Z5" s="1345"/>
      <c r="AA5" s="1343" t="s">
        <v>447</v>
      </c>
      <c r="AB5" s="1344"/>
      <c r="AC5" s="1344"/>
      <c r="AD5" s="1345"/>
    </row>
    <row r="6" spans="1:78" s="471" customFormat="1" ht="21.75" customHeight="1" thickBot="1">
      <c r="A6" s="1334"/>
      <c r="B6" s="1336"/>
      <c r="C6" s="1324"/>
      <c r="D6" s="1326"/>
      <c r="E6" s="1326"/>
      <c r="F6" s="1330"/>
      <c r="G6" s="1328"/>
      <c r="H6" s="1353"/>
      <c r="I6" s="1332"/>
      <c r="J6" s="1353"/>
      <c r="K6" s="1328"/>
      <c r="L6" s="1328"/>
      <c r="M6" s="1328"/>
      <c r="N6" s="1341"/>
      <c r="O6" s="1342"/>
      <c r="P6" s="1089"/>
      <c r="Q6" s="1346"/>
      <c r="R6" s="1347"/>
      <c r="S6" s="1348"/>
      <c r="T6" s="1346"/>
      <c r="U6" s="1347"/>
      <c r="V6" s="1348"/>
      <c r="W6" s="1346"/>
      <c r="X6" s="1347"/>
      <c r="Y6" s="1347"/>
      <c r="Z6" s="1348"/>
      <c r="AA6" s="1346"/>
      <c r="AB6" s="1347"/>
      <c r="AC6" s="1347"/>
      <c r="AD6" s="1348"/>
    </row>
    <row r="7" spans="1:78" s="471" customFormat="1" ht="84" customHeight="1">
      <c r="A7" s="1334"/>
      <c r="B7" s="1090" t="str">
        <f>Datos!A7</f>
        <v>COMPETENCIAS</v>
      </c>
      <c r="C7" s="1324"/>
      <c r="D7" s="1326"/>
      <c r="E7" s="1326"/>
      <c r="F7" s="1330"/>
      <c r="G7" s="1328"/>
      <c r="H7" s="1353"/>
      <c r="I7" s="1332"/>
      <c r="J7" s="1353"/>
      <c r="K7" s="1328"/>
      <c r="L7" s="1328"/>
      <c r="M7" s="1354"/>
      <c r="N7" s="1091" t="s">
        <v>229</v>
      </c>
      <c r="O7" s="1091" t="s">
        <v>393</v>
      </c>
      <c r="P7" s="1092" t="s">
        <v>394</v>
      </c>
      <c r="Q7" s="1093" t="s">
        <v>395</v>
      </c>
      <c r="R7" s="1092" t="s">
        <v>386</v>
      </c>
      <c r="S7" s="1093" t="s">
        <v>827</v>
      </c>
      <c r="T7" s="1145" t="s">
        <v>828</v>
      </c>
      <c r="U7" s="1145" t="s">
        <v>829</v>
      </c>
      <c r="V7" s="1145" t="s">
        <v>830</v>
      </c>
      <c r="W7" s="1091" t="s">
        <v>448</v>
      </c>
      <c r="X7" s="1159" t="s">
        <v>844</v>
      </c>
      <c r="Y7" s="1159" t="s">
        <v>845</v>
      </c>
      <c r="Z7" s="1160" t="s">
        <v>846</v>
      </c>
      <c r="AA7" s="1094" t="s">
        <v>448</v>
      </c>
      <c r="AB7" s="1159" t="s">
        <v>449</v>
      </c>
      <c r="AC7" s="1159" t="s">
        <v>847</v>
      </c>
      <c r="AD7" s="1160" t="s">
        <v>848</v>
      </c>
      <c r="AE7" s="1095" t="s">
        <v>825</v>
      </c>
    </row>
    <row r="8" spans="1:78" ht="15">
      <c r="A8" s="1337" t="str">
        <f>Datos!A8</f>
        <v>Jurisdicción Civil ( 1 ):</v>
      </c>
      <c r="B8" s="1338"/>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78" ht="15">
      <c r="A9" s="1043">
        <f>ABS(Datos!AO9)</f>
        <v>0</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t="str">
        <f>IF(ISNUMBER(NºAsuntos!I9/NºAsuntos!G9),(NºAsuntos!I9/NºAsuntos!G9)*11," - ")</f>
        <v xml:space="preserve"> - </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c r="BZ9" s="1186">
        <f>Datos!EZ9</f>
        <v>0</v>
      </c>
    </row>
    <row r="10" spans="1:78" ht="15">
      <c r="A10" s="1043">
        <f>ABS(Datos!AO10)</f>
        <v>1</v>
      </c>
      <c r="B10" s="502" t="str">
        <f>Datos!A10</f>
        <v>Jdos. Violencia contra la mujer</v>
      </c>
      <c r="C10" s="225">
        <f t="shared" si="0"/>
        <v>17</v>
      </c>
      <c r="D10" s="225">
        <f>IF(ISNUMBER(Datos!I10),Datos!I10," - ")</f>
        <v>17</v>
      </c>
      <c r="E10" s="226">
        <f>IF(ISNUMBER(Datos!J10),Datos!J10," - ")</f>
        <v>2</v>
      </c>
      <c r="F10" s="226">
        <f>IF(ISNUMBER(Datos!K10),Datos!K10," - ")</f>
        <v>2</v>
      </c>
      <c r="G10" s="1034" t="str">
        <f>IF(Datos!E10&lt;&gt;"",Datos!E10,Datos!D10)</f>
        <v>37</v>
      </c>
      <c r="H10" s="227">
        <f>IF(ISNUMBER(Datos!L10),Datos!L10," - ")</f>
        <v>17</v>
      </c>
      <c r="I10" s="1044" t="str">
        <f>IF(ISNUMBER(Datos!AS10/Datos!BM10),Datos!AS10/Datos!BM10," - ")</f>
        <v xml:space="preserve"> - </v>
      </c>
      <c r="J10" s="1045">
        <f>IF(ISNUMBER(Datos!BY10/Datos!CN10),Datos!BY10/Datos!CN10," - ")</f>
        <v>0</v>
      </c>
      <c r="K10" s="230">
        <f t="shared" ref="K10:K12" si="1">IF(ISNUMBER((E10-F10)/C10),(E10-F10)/C10," - ")</f>
        <v>0</v>
      </c>
      <c r="L10" s="1025">
        <f>IF(ISNUMBER(NºAsuntos!I10/NºAsuntos!G10),(NºAsuntos!I10/NºAsuntos!G10)*11," - ")</f>
        <v>93.5</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c r="BZ10" s="1186">
        <f>Datos!EZ10</f>
        <v>0</v>
      </c>
    </row>
    <row r="11" spans="1:78" ht="15">
      <c r="A11" s="1043">
        <f>ABS(Datos!AO11)</f>
        <v>0</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t="str">
        <f>IF(ISNUMBER(NºAsuntos!I11/NºAsuntos!G11),(NºAsuntos!I11/NºAsuntos!G11)*11," - ")</f>
        <v xml:space="preserve"> - </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c r="BZ11" s="1186">
        <f>Datos!EZ11</f>
        <v>0</v>
      </c>
    </row>
    <row r="12" spans="1:78" ht="15">
      <c r="A12" s="1043">
        <f>ABS(Datos!AO12)</f>
        <v>2</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f>IF(ISNUMBER(NºAsuntos!I12/NºAsuntos!G12),(NºAsuntos!I12/NºAsuntos!G12)*11," - ")</f>
        <v>57.686375321336762</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c r="BZ12" s="1186">
        <f>Datos!EZ12</f>
        <v>0</v>
      </c>
    </row>
    <row r="13" spans="1:78" ht="15">
      <c r="A13" s="1048"/>
      <c r="B13" s="1097" t="str">
        <f>Datos!A13</f>
        <v>TOTAL</v>
      </c>
      <c r="C13" s="1049">
        <f>SUBTOTAL(9,C9:C12)</f>
        <v>17</v>
      </c>
      <c r="D13" s="1049">
        <f>SUBTOTAL(9,D9:D12)</f>
        <v>17</v>
      </c>
      <c r="E13" s="1050">
        <f>SUBTOTAL(9,E9:E12)</f>
        <v>2</v>
      </c>
      <c r="F13" s="1051">
        <f>SUBTOTAL(9,F9:F12)</f>
        <v>2</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c r="BZ13" s="1186"/>
    </row>
    <row r="14" spans="1:78" ht="15">
      <c r="A14" s="1337" t="str">
        <f>Datos!A14</f>
        <v xml:space="preserve">Jurisdicción Penal ( 2 ):                      </v>
      </c>
      <c r="B14" s="1338"/>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c r="BZ14" s="1186"/>
    </row>
    <row r="15" spans="1:78" ht="15">
      <c r="A15" s="1043">
        <f>ABS(Datos!AO15)</f>
        <v>0</v>
      </c>
      <c r="B15" s="502" t="str">
        <f>Datos!A15</f>
        <v xml:space="preserve">Jdos. Instrucción                               </v>
      </c>
      <c r="C15" s="225" t="str">
        <f t="shared" ref="C15:C17" si="2">IF(ISNUMBER(H15-E15+F15),H15-E15+F15," - ")</f>
        <v xml:space="preserve"> - </v>
      </c>
      <c r="D15" s="225" t="str">
        <f>IF(ISNUMBER(IF(D_I="SI",Datos!I15,Datos!I15+Datos!AC15)),IF(D_I="SI",Datos!I15,Datos!I15+Datos!AC15)," - ")</f>
        <v xml:space="preserve"> - </v>
      </c>
      <c r="E15" s="226" t="str">
        <f>IF(ISNUMBER(IF(D_I="SI",Datos!J15,Datos!J15+Datos!AD15)),IF(D_I="SI",Datos!J15,Datos!J15+Datos!AD15)," - ")</f>
        <v xml:space="preserve"> - </v>
      </c>
      <c r="F15" s="226" t="str">
        <f>IF(ISNUMBER(IF(D_I="SI",Datos!K15,Datos!K15+Datos!AE15)),IF(D_I="SI",Datos!K15,Datos!K15+Datos!AE15)," - ")</f>
        <v xml:space="preserve"> - </v>
      </c>
      <c r="G15" s="1034" t="str">
        <f>IF(Datos!E15&lt;&gt;"",Datos!E15,Datos!D15)</f>
        <v>03</v>
      </c>
      <c r="H15" s="227" t="str">
        <f>IF(ISNUMBER(IF(D_I="SI",Datos!L15,Datos!L15+Datos!AF15)),IF(D_I="SI",Datos!L15,Datos!L15+Datos!AF15)," - ")</f>
        <v xml:space="preserve"> - </v>
      </c>
      <c r="I15" s="1044" t="str">
        <f>IF(ISNUMBER(Datos!AS15/Datos!BM15),Datos!AS15/Datos!BM15," - ")</f>
        <v xml:space="preserve"> - </v>
      </c>
      <c r="J15" s="1045">
        <f>IF(ISNUMBER(Datos!BY15/Datos!CN15),Datos!BY15/Datos!CN15," - ")</f>
        <v>0</v>
      </c>
      <c r="K15" s="230" t="str">
        <f t="shared" ref="K15:K17" si="3">IF(ISNUMBER((E15-F15)/C15),(E15-F15)/C15," - ")</f>
        <v xml:space="preserve"> - </v>
      </c>
      <c r="L15" s="1025" t="str">
        <f>IF(ISNUMBER(NºAsuntos!I15/NºAsuntos!G15),(NºAsuntos!I15/NºAsuntos!G15)*11," - ")</f>
        <v xml:space="preserve"> - </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c r="BZ15" s="1186">
        <f>Datos!EZ15</f>
        <v>0</v>
      </c>
    </row>
    <row r="16" spans="1:78" ht="15">
      <c r="A16" s="1043">
        <f>ABS(Datos!AO16)</f>
        <v>2</v>
      </c>
      <c r="B16" s="502" t="str">
        <f>Datos!A16</f>
        <v xml:space="preserve">Jdos. 1ª Instª. e Instr.                        </v>
      </c>
      <c r="C16" s="225">
        <f t="shared" si="2"/>
        <v>1352</v>
      </c>
      <c r="D16" s="225">
        <f>IF(ISNUMBER(IF(D_I="SI",Datos!I16,Datos!I16+Datos!AC16)),IF(D_I="SI",Datos!I16,Datos!I16+Datos!AC16)," - ")</f>
        <v>1352</v>
      </c>
      <c r="E16" s="226">
        <f>IF(ISNUMBER(IF(D_I="SI",Datos!J16,Datos!J16+Datos!AD16)),IF(D_I="SI",Datos!J16,Datos!J16+Datos!AD16)," - ")</f>
        <v>344</v>
      </c>
      <c r="F16" s="226">
        <f>IF(ISNUMBER(IF(D_I="SI",Datos!K16,Datos!K16+Datos!AE16)),IF(D_I="SI",Datos!K16,Datos!K16+Datos!AE16)," - ")</f>
        <v>354</v>
      </c>
      <c r="G16" s="1034" t="str">
        <f>IF(Datos!E16&lt;&gt;"",Datos!E16,Datos!D16)</f>
        <v>04</v>
      </c>
      <c r="H16" s="227">
        <f>IF(ISNUMBER(IF(D_I="SI",Datos!L16,Datos!L16+Datos!AF16)),IF(D_I="SI",Datos!L16,Datos!L16+Datos!AF16)," - ")</f>
        <v>1342</v>
      </c>
      <c r="I16" s="1044" t="str">
        <f>IF(ISNUMBER(Datos!AS16/Datos!BM16),Datos!AS16/Datos!BM16," - ")</f>
        <v xml:space="preserve"> - </v>
      </c>
      <c r="J16" s="1045">
        <f>IF(ISNUMBER(Datos!BY16/Datos!CN16),Datos!BY16/Datos!CN16," - ")</f>
        <v>0</v>
      </c>
      <c r="K16" s="230">
        <f t="shared" si="3"/>
        <v>-7.3964497041420114E-3</v>
      </c>
      <c r="L16" s="1025">
        <f>IF(ISNUMBER(NºAsuntos!I16/NºAsuntos!G16),(NºAsuntos!I16/NºAsuntos!G16)*11," - ")</f>
        <v>41.700564971751412</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c r="BZ16" s="1186">
        <f>Datos!EZ16</f>
        <v>0</v>
      </c>
    </row>
    <row r="17" spans="1:78" ht="15">
      <c r="A17" s="1043">
        <f>ABS(Datos!AO17)</f>
        <v>1</v>
      </c>
      <c r="B17" s="502" t="str">
        <f>Datos!A17</f>
        <v>Jdos. Violencia contra la mujer</v>
      </c>
      <c r="C17" s="225">
        <f t="shared" si="2"/>
        <v>46</v>
      </c>
      <c r="D17" s="225">
        <f>IF(ISNUMBER(IF(D_I="SI",Datos!I17,Datos!I17+Datos!AC17)),IF(D_I="SI",Datos!I17,Datos!I17+Datos!AC17)," - ")</f>
        <v>46</v>
      </c>
      <c r="E17" s="226">
        <f>IF(ISNUMBER(IF(D_I="SI",Datos!J17,Datos!J17+Datos!AD17)),IF(D_I="SI",Datos!J17,Datos!J17+Datos!AD17)," - ")</f>
        <v>31</v>
      </c>
      <c r="F17" s="226">
        <f>IF(ISNUMBER(IF(D_I="SI",Datos!K17,Datos!K17+Datos!AE17)),IF(D_I="SI",Datos!K17,Datos!K17+Datos!AE17)," - ")</f>
        <v>25</v>
      </c>
      <c r="G17" s="1034" t="str">
        <f>IF(Datos!E17&lt;&gt;"",Datos!E17,Datos!D17)</f>
        <v>37</v>
      </c>
      <c r="H17" s="227">
        <f>IF(ISNUMBER(IF(D_I="SI",Datos!L17,Datos!L17+Datos!AF17)),IF(D_I="SI",Datos!L17,Datos!L17+Datos!AF17)," - ")</f>
        <v>52</v>
      </c>
      <c r="I17" s="1044" t="str">
        <f>IF(ISNUMBER(Datos!AS17/Datos!BM17),Datos!AS17/Datos!BM17," - ")</f>
        <v xml:space="preserve"> - </v>
      </c>
      <c r="J17" s="1045" t="str">
        <f>IF(ISNUMBER((Datos!BY17+Datos!BZ17)/Datos!CN17),(Datos!BY17+Datos!BZ17)/Datos!CN17," - ")</f>
        <v xml:space="preserve"> - </v>
      </c>
      <c r="K17" s="230">
        <f t="shared" si="3"/>
        <v>0.13043478260869565</v>
      </c>
      <c r="L17" s="1025">
        <f>IF(ISNUMBER(NºAsuntos!I17/NºAsuntos!G17),(NºAsuntos!I17/NºAsuntos!G17)*11," - ")</f>
        <v>22.880000000000003</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c r="BZ17" s="1186">
        <f>Datos!EZ17</f>
        <v>0</v>
      </c>
    </row>
    <row r="18" spans="1:78" ht="15.75" thickBot="1">
      <c r="A18" s="1048"/>
      <c r="B18" s="1097" t="str">
        <f>Datos!A18</f>
        <v>TOTAL</v>
      </c>
      <c r="C18" s="1049">
        <f>SUBTOTAL(9,C15:C17)</f>
        <v>1398</v>
      </c>
      <c r="D18" s="1049">
        <f>SUBTOTAL(9,D15:D17)</f>
        <v>1398</v>
      </c>
      <c r="E18" s="1050">
        <f>SUBTOTAL(9,E15:E17)</f>
        <v>375</v>
      </c>
      <c r="F18" s="1050">
        <f>SUBTOTAL(9,F15:F17)</f>
        <v>379</v>
      </c>
      <c r="G18" s="1052" t="str">
        <f ca="1">INDIRECT(CONCATENATE("G",ROW()-1))</f>
        <v>37</v>
      </c>
      <c r="H18" s="1053">
        <f ca="1">SUMIF(G$14:G17,G18,H$14:H17)</f>
        <v>52</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c r="BZ18" s="1186"/>
    </row>
    <row r="19" spans="1:78" ht="18.75" customHeight="1" thickTop="1" thickBot="1">
      <c r="A19" s="1070"/>
      <c r="B19" s="1098" t="str">
        <f>Datos!A19</f>
        <v>TOTAL JURISDICCIONES</v>
      </c>
      <c r="C19" s="1071">
        <f>SUBTOTAL(9,C9:C18)</f>
        <v>1415</v>
      </c>
      <c r="D19" s="1071">
        <f>SUBTOTAL(9,D9:D18)</f>
        <v>1415</v>
      </c>
      <c r="E19" s="1072">
        <f>SUBTOTAL(9,E9:E18)</f>
        <v>377</v>
      </c>
      <c r="F19" s="1072">
        <f>SUBTOTAL(9,F9:F18)</f>
        <v>381</v>
      </c>
      <c r="G19" s="1073"/>
      <c r="H19" s="1074">
        <f ca="1">SUMIF(B9:B18,"TOTAL",H9:H18)</f>
        <v>52</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78" ht="12" customHeight="1" thickTop="1">
      <c r="B20" s="73"/>
    </row>
    <row r="21" spans="1:78" ht="12.75" customHeight="1">
      <c r="B21" s="1099"/>
      <c r="C21" s="1029"/>
      <c r="D21" s="1029"/>
      <c r="E21" s="1030"/>
      <c r="F21" s="1029"/>
      <c r="G21" s="1029"/>
      <c r="H21" s="1029"/>
      <c r="I21" s="1029"/>
      <c r="J21" s="1029"/>
      <c r="K21" s="1030"/>
      <c r="L21" s="1030"/>
      <c r="M21" s="1030"/>
      <c r="N21" s="1030"/>
      <c r="O21" s="1030"/>
      <c r="P21" s="1030"/>
      <c r="Q21" s="1030"/>
    </row>
    <row r="22" spans="1:78" ht="12.75" customHeight="1">
      <c r="B22" s="471" t="str">
        <f>Criterios!A4</f>
        <v>Fecha Informe: 29 nov. 2024</v>
      </c>
      <c r="C22" s="1029"/>
      <c r="D22" s="1029"/>
      <c r="E22" s="1030"/>
      <c r="F22" s="1029"/>
      <c r="G22" s="1029"/>
      <c r="H22" s="1029"/>
      <c r="I22" s="1029"/>
      <c r="J22" s="1029"/>
      <c r="K22" s="1030"/>
      <c r="L22" s="1030"/>
      <c r="M22" s="1030"/>
      <c r="N22" s="1030"/>
      <c r="O22" s="1030"/>
      <c r="P22" s="1030"/>
      <c r="Q22" s="1030"/>
    </row>
    <row r="23" spans="1:78" ht="12.75" customHeight="1">
      <c r="B23" s="1099"/>
      <c r="C23" s="1029"/>
      <c r="D23" s="1029"/>
      <c r="E23" s="1029"/>
      <c r="F23" s="1029"/>
      <c r="G23" s="1029"/>
      <c r="H23" s="1029"/>
      <c r="I23" s="1029"/>
      <c r="J23" s="1029"/>
      <c r="K23" s="1029"/>
      <c r="L23" s="1029"/>
      <c r="M23" s="1029"/>
      <c r="N23" s="1029"/>
      <c r="O23" s="1029"/>
      <c r="P23" s="1029"/>
      <c r="Q23" s="1029"/>
    </row>
    <row r="24" spans="1:78" ht="12.75" customHeight="1">
      <c r="B24" s="1099"/>
      <c r="C24" s="1029"/>
      <c r="D24" s="1029"/>
      <c r="E24" s="1029"/>
      <c r="F24" s="1029"/>
      <c r="G24" s="1029"/>
      <c r="H24" s="1029"/>
      <c r="I24" s="1029"/>
      <c r="J24" s="1029"/>
      <c r="K24" s="1029"/>
      <c r="L24" s="1029"/>
      <c r="M24" s="1029"/>
      <c r="N24" s="1029"/>
      <c r="O24" s="1029"/>
      <c r="P24" s="1029"/>
      <c r="Q24" s="1029"/>
    </row>
    <row r="25" spans="1:78">
      <c r="B25" s="527"/>
      <c r="N25" s="1355" t="s">
        <v>635</v>
      </c>
      <c r="O25" s="1355"/>
      <c r="P25" s="1355"/>
      <c r="Q25" s="1355"/>
      <c r="R25" s="1355"/>
      <c r="S25" s="1355"/>
      <c r="T25" s="1355"/>
      <c r="U25" s="1355"/>
      <c r="V25" s="1355"/>
      <c r="W25" s="1355"/>
      <c r="Y25" s="1355" t="s">
        <v>636</v>
      </c>
      <c r="Z25" s="1355"/>
      <c r="AA25" s="1355"/>
      <c r="AB25" s="1355"/>
      <c r="AC25" s="1355"/>
      <c r="AD25" s="1355"/>
    </row>
    <row r="27" spans="1:78">
      <c r="N27" s="1031" t="s">
        <v>637</v>
      </c>
      <c r="O27" s="1356" t="s">
        <v>638</v>
      </c>
      <c r="P27" s="1356"/>
      <c r="Q27" s="1356"/>
      <c r="R27" s="1356"/>
      <c r="S27" s="1356"/>
      <c r="T27" s="1356"/>
      <c r="U27" s="1356"/>
      <c r="V27" s="1356"/>
      <c r="W27" s="1356"/>
      <c r="Y27" s="1031" t="s">
        <v>637</v>
      </c>
      <c r="Z27" s="1357" t="s">
        <v>639</v>
      </c>
      <c r="AA27" s="1357"/>
      <c r="AB27" s="1357"/>
      <c r="AC27" s="1357"/>
      <c r="AD27" s="1357"/>
    </row>
    <row r="28" spans="1:78">
      <c r="N28" s="1031" t="s">
        <v>640</v>
      </c>
      <c r="O28" s="1356" t="s">
        <v>641</v>
      </c>
      <c r="P28" s="1356"/>
      <c r="Q28" s="1356"/>
      <c r="R28" s="1356"/>
      <c r="S28" s="1356"/>
      <c r="T28" s="1356"/>
      <c r="U28" s="1356"/>
      <c r="V28" s="1356"/>
      <c r="W28" s="1356"/>
      <c r="Y28" s="1031" t="s">
        <v>640</v>
      </c>
      <c r="Z28" s="1357" t="s">
        <v>642</v>
      </c>
      <c r="AA28" s="1357"/>
      <c r="AB28" s="1357"/>
      <c r="AC28" s="1357"/>
      <c r="AD28" s="1357"/>
    </row>
    <row r="29" spans="1:78">
      <c r="N29" s="1031" t="s">
        <v>643</v>
      </c>
      <c r="O29" s="1356" t="s">
        <v>644</v>
      </c>
      <c r="P29" s="1356"/>
      <c r="Q29" s="1356"/>
      <c r="R29" s="1356"/>
      <c r="S29" s="1356"/>
      <c r="T29" s="1356"/>
      <c r="U29" s="1356"/>
      <c r="V29" s="1356"/>
      <c r="W29" s="1356"/>
      <c r="Y29" s="1031" t="s">
        <v>645</v>
      </c>
      <c r="Z29" s="1357" t="s">
        <v>880</v>
      </c>
      <c r="AA29" s="1357"/>
      <c r="AB29" s="1357"/>
      <c r="AC29" s="1357"/>
      <c r="AD29" s="1357"/>
    </row>
    <row r="30" spans="1:78">
      <c r="N30" s="1031" t="s">
        <v>646</v>
      </c>
      <c r="O30" s="1356" t="s">
        <v>647</v>
      </c>
      <c r="P30" s="1356"/>
      <c r="Q30" s="1356"/>
      <c r="R30" s="1356"/>
      <c r="S30" s="1356"/>
      <c r="T30" s="1356"/>
      <c r="U30" s="1356"/>
      <c r="V30" s="1356"/>
      <c r="W30" s="1356"/>
      <c r="Y30" s="1031" t="s">
        <v>648</v>
      </c>
      <c r="Z30" s="1357" t="s">
        <v>881</v>
      </c>
      <c r="AA30" s="1357"/>
      <c r="AB30" s="1357"/>
      <c r="AC30" s="1357"/>
      <c r="AD30" s="1357"/>
    </row>
    <row r="31" spans="1:78">
      <c r="N31" s="1031" t="s">
        <v>731</v>
      </c>
      <c r="O31" s="1356" t="s">
        <v>732</v>
      </c>
      <c r="P31" s="1356"/>
      <c r="Q31" s="1356"/>
      <c r="R31" s="1356"/>
      <c r="S31" s="1356"/>
      <c r="T31" s="1356"/>
      <c r="U31" s="1356"/>
      <c r="V31" s="1356"/>
      <c r="W31" s="1356"/>
      <c r="Y31" s="1031" t="s">
        <v>643</v>
      </c>
      <c r="Z31" s="1357" t="s">
        <v>644</v>
      </c>
      <c r="AA31" s="1357"/>
      <c r="AB31" s="1357"/>
      <c r="AC31" s="1357"/>
      <c r="AD31" s="1357"/>
    </row>
    <row r="32" spans="1:78">
      <c r="N32" s="1031" t="s">
        <v>649</v>
      </c>
      <c r="O32" s="1356" t="s">
        <v>650</v>
      </c>
      <c r="P32" s="1356"/>
      <c r="Q32" s="1356"/>
      <c r="R32" s="1356"/>
      <c r="S32" s="1356"/>
      <c r="T32" s="1356"/>
      <c r="U32" s="1356"/>
      <c r="V32" s="1356"/>
      <c r="W32" s="1356"/>
      <c r="Y32" s="1031" t="s">
        <v>646</v>
      </c>
      <c r="Z32" s="1357" t="s">
        <v>647</v>
      </c>
      <c r="AA32" s="1357"/>
      <c r="AB32" s="1357"/>
      <c r="AC32" s="1357"/>
      <c r="AD32" s="1357"/>
    </row>
    <row r="33" spans="14:30">
      <c r="N33" s="1031" t="s">
        <v>651</v>
      </c>
      <c r="O33" s="1356" t="s">
        <v>652</v>
      </c>
      <c r="P33" s="1356"/>
      <c r="Q33" s="1356"/>
      <c r="R33" s="1356"/>
      <c r="S33" s="1356"/>
      <c r="T33" s="1356"/>
      <c r="U33" s="1356"/>
      <c r="V33" s="1356"/>
      <c r="W33" s="1356"/>
      <c r="Y33" s="1031" t="s">
        <v>731</v>
      </c>
      <c r="Z33" s="1357" t="s">
        <v>910</v>
      </c>
      <c r="AA33" s="1357"/>
      <c r="AB33" s="1357"/>
      <c r="AC33" s="1357"/>
      <c r="AD33" s="1357"/>
    </row>
    <row r="34" spans="14:30">
      <c r="N34" s="1031" t="s">
        <v>645</v>
      </c>
      <c r="O34" s="1356" t="s">
        <v>878</v>
      </c>
      <c r="P34" s="1356"/>
      <c r="Q34" s="1356"/>
      <c r="R34" s="1356"/>
      <c r="S34" s="1356"/>
      <c r="T34" s="1356"/>
      <c r="U34" s="1356"/>
      <c r="V34" s="1356"/>
      <c r="W34" s="1356"/>
      <c r="Y34" s="1031" t="s">
        <v>653</v>
      </c>
      <c r="Z34" s="1357" t="s">
        <v>654</v>
      </c>
      <c r="AA34" s="1357"/>
      <c r="AB34" s="1357"/>
      <c r="AC34" s="1357"/>
      <c r="AD34" s="1357"/>
    </row>
    <row r="35" spans="14:30">
      <c r="N35" s="1031" t="s">
        <v>648</v>
      </c>
      <c r="O35" s="1356" t="s">
        <v>879</v>
      </c>
      <c r="P35" s="1356"/>
      <c r="Q35" s="1356"/>
      <c r="R35" s="1356"/>
      <c r="S35" s="1356"/>
      <c r="T35" s="1356"/>
      <c r="U35" s="1356"/>
      <c r="V35" s="1356"/>
      <c r="W35" s="1356"/>
      <c r="Y35" s="1031" t="s">
        <v>655</v>
      </c>
      <c r="Z35" s="1357" t="s">
        <v>656</v>
      </c>
      <c r="AA35" s="1357"/>
      <c r="AB35" s="1357"/>
      <c r="AC35" s="1357"/>
      <c r="AD35" s="1357"/>
    </row>
    <row r="36" spans="14:30">
      <c r="N36" s="1031" t="s">
        <v>653</v>
      </c>
      <c r="O36" s="1356" t="s">
        <v>657</v>
      </c>
      <c r="P36" s="1356"/>
      <c r="Q36" s="1356"/>
      <c r="R36" s="1356"/>
      <c r="S36" s="1356"/>
      <c r="T36" s="1356"/>
      <c r="U36" s="1356"/>
      <c r="V36" s="1356"/>
      <c r="W36" s="1356"/>
      <c r="Y36" s="1031" t="s">
        <v>658</v>
      </c>
      <c r="Z36" s="1357" t="s">
        <v>659</v>
      </c>
      <c r="AA36" s="1357"/>
      <c r="AB36" s="1357"/>
      <c r="AC36" s="1357"/>
      <c r="AD36" s="1357"/>
    </row>
    <row r="37" spans="14:30">
      <c r="N37" s="1031" t="s">
        <v>660</v>
      </c>
      <c r="O37" s="1356" t="s">
        <v>661</v>
      </c>
      <c r="P37" s="1356"/>
      <c r="Q37" s="1356"/>
      <c r="R37" s="1356"/>
      <c r="S37" s="1356"/>
      <c r="T37" s="1356"/>
      <c r="U37" s="1356"/>
      <c r="V37" s="1356"/>
      <c r="W37" s="1356"/>
      <c r="Y37" s="1031" t="s">
        <v>649</v>
      </c>
      <c r="Z37" s="1357" t="s">
        <v>650</v>
      </c>
      <c r="AA37" s="1357"/>
      <c r="AB37" s="1357"/>
      <c r="AC37" s="1357"/>
      <c r="AD37" s="1357"/>
    </row>
    <row r="38" spans="14:30">
      <c r="N38" s="1031" t="s">
        <v>655</v>
      </c>
      <c r="O38" s="1356" t="s">
        <v>662</v>
      </c>
      <c r="P38" s="1356"/>
      <c r="Q38" s="1356"/>
      <c r="R38" s="1356"/>
      <c r="S38" s="1356"/>
      <c r="T38" s="1356"/>
      <c r="U38" s="1356"/>
      <c r="V38" s="1356"/>
      <c r="W38" s="1356"/>
      <c r="Y38" s="1032" t="s">
        <v>651</v>
      </c>
      <c r="Z38" s="1359" t="s">
        <v>652</v>
      </c>
      <c r="AA38" s="1359"/>
      <c r="AB38" s="1359"/>
      <c r="AC38" s="1359"/>
      <c r="AD38" s="1359"/>
    </row>
    <row r="39" spans="14:30">
      <c r="N39" s="1032" t="s">
        <v>658</v>
      </c>
      <c r="O39" s="1358" t="s">
        <v>663</v>
      </c>
      <c r="P39" s="1358"/>
      <c r="Q39" s="1358"/>
      <c r="R39" s="1358"/>
      <c r="S39" s="1358"/>
      <c r="T39" s="1358"/>
      <c r="U39" s="1358"/>
      <c r="V39" s="1358"/>
      <c r="W39" s="1358"/>
    </row>
  </sheetData>
  <sheetProtection algorithmName="SHA-512" hashValue="obZ5gIXhVmTd1LSbumLuOcp5p8i/h11yGbEznl/DAvtxAql7kKR0oJ80jwiVhdDkJ2HCB4/iyeauoEf89HDhGQ==" saltValue="O5g9lyATHE3eholtNSu87Q==" spinCount="100000" sheet="1" objects="1" scenarios="1"/>
  <mergeCells count="49">
    <mergeCell ref="O39:W39"/>
    <mergeCell ref="Z37:AD37"/>
    <mergeCell ref="Z38:AD38"/>
    <mergeCell ref="Z36:AD36"/>
    <mergeCell ref="Z33:AD33"/>
    <mergeCell ref="O36:W36"/>
    <mergeCell ref="O37:W37"/>
    <mergeCell ref="O38:W38"/>
    <mergeCell ref="O33:W33"/>
    <mergeCell ref="O34:W34"/>
    <mergeCell ref="O35:W35"/>
    <mergeCell ref="Z34:AD34"/>
    <mergeCell ref="Z35:AD35"/>
    <mergeCell ref="O29:W29"/>
    <mergeCell ref="O30:W30"/>
    <mergeCell ref="O32:W32"/>
    <mergeCell ref="O31:W31"/>
    <mergeCell ref="Z29:AD29"/>
    <mergeCell ref="Z30:AD30"/>
    <mergeCell ref="Z31:AD31"/>
    <mergeCell ref="Z32:AD32"/>
    <mergeCell ref="N25:W25"/>
    <mergeCell ref="O27:W27"/>
    <mergeCell ref="O28:W28"/>
    <mergeCell ref="Y25:AD25"/>
    <mergeCell ref="Z27:AD27"/>
    <mergeCell ref="Z28:AD28"/>
    <mergeCell ref="Q5:S6"/>
    <mergeCell ref="W5:Z6"/>
    <mergeCell ref="AA5:AD6"/>
    <mergeCell ref="H4:L4"/>
    <mergeCell ref="N4:AD4"/>
    <mergeCell ref="H5:H7"/>
    <mergeCell ref="M5:M7"/>
    <mergeCell ref="J5:J7"/>
    <mergeCell ref="T5:V6"/>
    <mergeCell ref="A5:A7"/>
    <mergeCell ref="B5:B6"/>
    <mergeCell ref="A14:B14"/>
    <mergeCell ref="A8:B8"/>
    <mergeCell ref="N5:O6"/>
    <mergeCell ref="C5:C7"/>
    <mergeCell ref="D5:D7"/>
    <mergeCell ref="L5:L7"/>
    <mergeCell ref="E5:E7"/>
    <mergeCell ref="F5:F7"/>
    <mergeCell ref="G5:G7"/>
    <mergeCell ref="I5:I7"/>
    <mergeCell ref="K5:K7"/>
  </mergeCells>
  <phoneticPr fontId="0" type="noConversion"/>
  <conditionalFormatting sqref="C15:C17 C10:C12">
    <cfRule type="cellIs" dxfId="599" priority="111" stopIfTrue="1" operator="notBetween">
      <formula>$C$23</formula>
      <formula>$C$24</formula>
    </cfRule>
  </conditionalFormatting>
  <conditionalFormatting sqref="D10:D12 D15:D17">
    <cfRule type="cellIs" dxfId="598" priority="92" stopIfTrue="1" operator="between">
      <formula>$D$23</formula>
      <formula>$D$24</formula>
    </cfRule>
  </conditionalFormatting>
  <conditionalFormatting sqref="E15:E17 E9:E12">
    <cfRule type="cellIs" dxfId="597" priority="99" stopIfTrue="1" operator="notBetween">
      <formula>$E$23</formula>
      <formula>$E$24</formula>
    </cfRule>
  </conditionalFormatting>
  <conditionalFormatting sqref="F15:F17 F9:F12">
    <cfRule type="cellIs" dxfId="596"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algorithmName="SHA-512" hashValue="VY7e4TE4ewgVYuYJLoLq7NQ6GYWVSiJq5mXAtKnjLj85Q06I82B/A1R/8ZSaaCgjDLcsP7LhgMeymSqX0+54kQ==" saltValue="j7kev5UmvplJOw8/ingtpg=="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Z27"/>
  <sheetViews>
    <sheetView zoomScale="80" zoomScaleNormal="80" workbookViewId="0">
      <pane xSplit="1" topLeftCell="B1" activePane="topRight" state="frozen"/>
      <selection pane="topRight" activeCell="G20" sqref="G20"/>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ANDALUCIA</v>
      </c>
    </row>
    <row r="4" spans="1:156" ht="13.5" thickBot="1">
      <c r="A4" t="str">
        <f>Criterios!A10</f>
        <v>Provincias</v>
      </c>
      <c r="B4" t="str">
        <f>Criterios!B10</f>
        <v>HUELVA</v>
      </c>
      <c r="CE4" s="1441" t="s">
        <v>273</v>
      </c>
      <c r="CF4" s="1442"/>
      <c r="CG4" s="1442"/>
      <c r="CH4" s="1443"/>
    </row>
    <row r="5" spans="1:156" ht="12.75" customHeight="1" thickBot="1">
      <c r="A5" s="1411" t="str">
        <f>"Año:  " &amp;Criterios!B5 &amp; "                  Trimestre   " &amp;Criterios!D5 &amp; " al " &amp;Criterios!D6</f>
        <v>Año:  2024                  Trimestre   3 al 3</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c r="BO5" s="1304"/>
      <c r="BP5" s="1303"/>
      <c r="BQ5" s="1304"/>
      <c r="BR5" s="1303"/>
      <c r="BS5" s="1304"/>
      <c r="BT5" s="1303"/>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751</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470" t="s">
        <v>750</v>
      </c>
      <c r="ER8" s="470">
        <v>148</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t="s">
        <v>806</v>
      </c>
      <c r="J9" s="181" t="s">
        <v>800</v>
      </c>
      <c r="K9" s="181" t="s">
        <v>849</v>
      </c>
      <c r="L9" s="181" t="s">
        <v>811</v>
      </c>
      <c r="M9" s="181" t="s">
        <v>490</v>
      </c>
      <c r="N9" s="181" t="s">
        <v>505</v>
      </c>
      <c r="O9" s="181" t="s">
        <v>224</v>
      </c>
      <c r="P9" s="181" t="s">
        <v>39</v>
      </c>
      <c r="Q9" s="181" t="s">
        <v>40</v>
      </c>
      <c r="R9" s="181" t="s">
        <v>91</v>
      </c>
      <c r="S9" s="181"/>
      <c r="T9" s="181"/>
      <c r="U9" s="181"/>
      <c r="V9" s="181"/>
      <c r="W9" s="181"/>
      <c r="X9" s="188"/>
      <c r="Y9" s="191" t="s">
        <v>134</v>
      </c>
      <c r="Z9" s="181" t="s">
        <v>135</v>
      </c>
      <c r="AA9" s="181" t="s">
        <v>136</v>
      </c>
      <c r="AB9" s="181" t="s">
        <v>137</v>
      </c>
      <c r="AC9" s="181"/>
      <c r="AD9" s="181"/>
      <c r="AE9" s="181"/>
      <c r="AF9" s="188"/>
      <c r="AG9" s="191"/>
      <c r="AH9" s="181"/>
      <c r="AI9" s="181"/>
      <c r="AJ9" s="192"/>
      <c r="AK9" s="180"/>
      <c r="AL9" s="181"/>
      <c r="AM9" s="181"/>
      <c r="AN9" s="188"/>
      <c r="AO9" s="258">
        <v>0</v>
      </c>
      <c r="AP9" s="154">
        <v>0</v>
      </c>
      <c r="AQ9" s="154">
        <v>0</v>
      </c>
      <c r="AR9" s="193">
        <v>0</v>
      </c>
      <c r="AS9" s="338" t="s">
        <v>799</v>
      </c>
      <c r="AT9" s="195"/>
      <c r="AU9" s="194"/>
      <c r="AV9" s="195"/>
      <c r="AW9" s="194"/>
      <c r="AX9" s="195"/>
      <c r="AY9" s="123">
        <f>IF(ISNUMBER(IF(J_V="SI",S9,S9+AG9)),IF(J_V="SI",S9,S9+AG9)," - ")</f>
        <v>0</v>
      </c>
      <c r="AZ9" s="123">
        <f>IF(ISNUMBER(IF(J_V="SI",T9,T9+AH9)),IF(J_V="SI",T9,T9+AH9)," - ")</f>
        <v>0</v>
      </c>
      <c r="BA9" s="124">
        <f>IF(ISNUMBER(IF(J_V="SI",U9,U9+AI9)),IF(J_V="SI",U9,U9+AI9)," - ")</f>
        <v>0</v>
      </c>
      <c r="BB9" s="124">
        <f>IF(ISNUMBER(IF(J_V="SI",V9,V9+AJ9)),IF(J_V="SI",V9,V9+AJ9)," - ")</f>
        <v>0</v>
      </c>
      <c r="BC9" s="125" t="str">
        <f>IF(ISNUMBER(X9),X9," - ")</f>
        <v xml:space="preserve"> - </v>
      </c>
      <c r="BD9" s="126" t="str">
        <f>IF(ISNUMBER(BA9/AZ9),BA9/AZ9," - ")</f>
        <v xml:space="preserve"> - </v>
      </c>
      <c r="BE9" s="127" t="str">
        <f>IF(ISNUMBER(BB9/BA9),BB9/BA9, " - ")</f>
        <v xml:space="preserve"> - </v>
      </c>
      <c r="BF9" s="127" t="str">
        <f>IF(ISNUMBER(BC9/BA9),BC9/BA9, " - ")</f>
        <v xml:space="preserve"> - </v>
      </c>
      <c r="BG9" s="196" t="str">
        <f>IF(ISNUMBER((AY9+AZ9)/BA9),(AY9+AZ9)/BA9," - ")</f>
        <v xml:space="preserve"> - </v>
      </c>
      <c r="BH9" s="154">
        <v>0</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869</v>
      </c>
      <c r="EP9" s="997"/>
      <c r="EQ9" s="997"/>
      <c r="ER9" s="1000">
        <v>1200</v>
      </c>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v>17</v>
      </c>
      <c r="J10" s="181">
        <v>2</v>
      </c>
      <c r="K10" s="181">
        <v>2</v>
      </c>
      <c r="L10" s="181">
        <v>17</v>
      </c>
      <c r="M10" s="181">
        <v>1</v>
      </c>
      <c r="N10" s="181">
        <v>1</v>
      </c>
      <c r="O10" s="181">
        <v>0</v>
      </c>
      <c r="P10" s="181">
        <v>0</v>
      </c>
      <c r="Q10" s="181">
        <v>0</v>
      </c>
      <c r="R10" s="181">
        <v>0</v>
      </c>
      <c r="S10" s="181">
        <v>10</v>
      </c>
      <c r="T10" s="181">
        <v>2</v>
      </c>
      <c r="U10" s="181">
        <v>3</v>
      </c>
      <c r="V10" s="181">
        <v>9</v>
      </c>
      <c r="W10" s="181">
        <v>3</v>
      </c>
      <c r="X10" s="188">
        <v>0</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1</v>
      </c>
      <c r="AP10" s="155">
        <v>0</v>
      </c>
      <c r="AQ10" s="154">
        <v>0</v>
      </c>
      <c r="AR10" s="155">
        <v>0</v>
      </c>
      <c r="AS10" s="339" t="s">
        <v>793</v>
      </c>
      <c r="AT10" s="192"/>
      <c r="AU10" s="200"/>
      <c r="AV10" s="192"/>
      <c r="AW10" s="200"/>
      <c r="AX10" s="192"/>
      <c r="AY10" s="128">
        <f t="shared" ref="AY10:BC10" si="0">IF(ISNUMBER(S10),S10," - ")</f>
        <v>10</v>
      </c>
      <c r="AZ10" s="129">
        <f t="shared" si="0"/>
        <v>2</v>
      </c>
      <c r="BA10" s="129">
        <f t="shared" si="0"/>
        <v>3</v>
      </c>
      <c r="BB10" s="129">
        <f t="shared" si="0"/>
        <v>9</v>
      </c>
      <c r="BC10" s="125">
        <f t="shared" si="0"/>
        <v>3</v>
      </c>
      <c r="BD10" s="126">
        <f>IF(ISNUMBER(BA10/AZ10),BA10/AZ10," - ")</f>
        <v>1.5</v>
      </c>
      <c r="BE10" s="127">
        <f>IF(ISNUMBER(BB10/BA10),BB10/BA10, " - ")</f>
        <v>3</v>
      </c>
      <c r="BF10" s="127">
        <f>IF(ISNUMBER(BC10/BA10),BC10/BA10, " - ")</f>
        <v>1</v>
      </c>
      <c r="BG10" s="196">
        <f>IF(ISNUMBER((AY10+AZ10)/BA10),(AY10+AZ10)/BA10," - ")</f>
        <v>4</v>
      </c>
      <c r="BH10" s="155">
        <v>1</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767</v>
      </c>
      <c r="EP10" s="339"/>
      <c r="EQ10" s="339"/>
      <c r="ER10" s="1001">
        <v>1600</v>
      </c>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t="s">
        <v>806</v>
      </c>
      <c r="J11" s="183" t="s">
        <v>800</v>
      </c>
      <c r="K11" s="183" t="s">
        <v>849</v>
      </c>
      <c r="L11" s="183" t="s">
        <v>811</v>
      </c>
      <c r="M11" s="183" t="s">
        <v>490</v>
      </c>
      <c r="N11" s="183" t="s">
        <v>505</v>
      </c>
      <c r="O11" s="181" t="s">
        <v>224</v>
      </c>
      <c r="P11" s="183" t="s">
        <v>39</v>
      </c>
      <c r="Q11" s="183" t="s">
        <v>40</v>
      </c>
      <c r="R11" s="183" t="s">
        <v>91</v>
      </c>
      <c r="S11" s="183"/>
      <c r="T11" s="183"/>
      <c r="U11" s="183"/>
      <c r="V11" s="183"/>
      <c r="W11" s="183"/>
      <c r="X11" s="189"/>
      <c r="Y11" s="191" t="s">
        <v>134</v>
      </c>
      <c r="Z11" s="181" t="s">
        <v>135</v>
      </c>
      <c r="AA11" s="181" t="s">
        <v>136</v>
      </c>
      <c r="AB11" s="181" t="s">
        <v>137</v>
      </c>
      <c r="AC11" s="183"/>
      <c r="AD11" s="183"/>
      <c r="AE11" s="183"/>
      <c r="AF11" s="189"/>
      <c r="AG11" s="202"/>
      <c r="AH11" s="183"/>
      <c r="AI11" s="183"/>
      <c r="AJ11" s="203"/>
      <c r="AK11" s="182"/>
      <c r="AL11" s="183"/>
      <c r="AM11" s="183"/>
      <c r="AN11" s="189"/>
      <c r="AO11" s="259">
        <v>0</v>
      </c>
      <c r="AP11" s="155">
        <v>0</v>
      </c>
      <c r="AQ11" s="155">
        <v>0</v>
      </c>
      <c r="AR11" s="154">
        <v>0</v>
      </c>
      <c r="AS11" s="340" t="s">
        <v>801</v>
      </c>
      <c r="AT11" s="203"/>
      <c r="AU11" s="202"/>
      <c r="AV11" s="203"/>
      <c r="AW11" s="202"/>
      <c r="AX11" s="203"/>
      <c r="AY11" s="126">
        <f t="shared" ref="AY11:BB12" si="1">IF(ISNUMBER(IF(J_V="SI",S11,S11+AG11)),IF(J_V="SI",S11,S11+AG11)," - ")</f>
        <v>0</v>
      </c>
      <c r="AZ11" s="127">
        <f t="shared" si="1"/>
        <v>0</v>
      </c>
      <c r="BA11" s="127">
        <f t="shared" si="1"/>
        <v>0</v>
      </c>
      <c r="BB11" s="127">
        <f t="shared" si="1"/>
        <v>0</v>
      </c>
      <c r="BC11" s="125" t="str">
        <f>IF(ISNUMBER(X11),X11," - ")</f>
        <v xml:space="preserve"> - </v>
      </c>
      <c r="BD11" s="126" t="str">
        <f t="shared" ref="BD11:BD12" si="2">IF(ISNUMBER(BA11/AZ11),BA11/AZ11," - ")</f>
        <v xml:space="preserve"> - </v>
      </c>
      <c r="BE11" s="127" t="str">
        <f t="shared" ref="BE11:BE12" si="3">IF(ISNUMBER(BB11/BA11),BB11/BA11, " - ")</f>
        <v xml:space="preserve"> - </v>
      </c>
      <c r="BF11" s="127" t="str">
        <f t="shared" ref="BF11:BF12" si="4">IF(ISNUMBER(BC11/BA11),BC11/BA11, " - ")</f>
        <v xml:space="preserve"> - </v>
      </c>
      <c r="BG11" s="196" t="str">
        <f t="shared" ref="BG11:BG12" si="5">IF(ISNUMBER((AY11+AZ11)/BA11),(AY11+AZ11)/BA11," - ")</f>
        <v xml:space="preserve"> - </v>
      </c>
      <c r="BH11" s="155">
        <v>0</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870</v>
      </c>
      <c r="EP11" s="998"/>
      <c r="EQ11" s="998"/>
      <c r="ER11" s="1002">
        <v>1323</v>
      </c>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v>1954</v>
      </c>
      <c r="J12" s="183">
        <v>373</v>
      </c>
      <c r="K12" s="183">
        <v>356</v>
      </c>
      <c r="L12" s="183">
        <v>1971</v>
      </c>
      <c r="M12" s="183">
        <v>87</v>
      </c>
      <c r="N12" s="183">
        <v>153</v>
      </c>
      <c r="O12" s="181">
        <v>155</v>
      </c>
      <c r="P12" s="183">
        <v>94</v>
      </c>
      <c r="Q12" s="183">
        <v>47</v>
      </c>
      <c r="R12" s="183">
        <v>2053</v>
      </c>
      <c r="S12" s="183">
        <v>1812</v>
      </c>
      <c r="T12" s="183">
        <v>344</v>
      </c>
      <c r="U12" s="183">
        <v>274</v>
      </c>
      <c r="V12" s="183">
        <v>1882</v>
      </c>
      <c r="W12" s="183">
        <v>48</v>
      </c>
      <c r="X12" s="189">
        <v>156</v>
      </c>
      <c r="Y12" s="191">
        <v>72</v>
      </c>
      <c r="Z12" s="181">
        <v>30</v>
      </c>
      <c r="AA12" s="181">
        <v>33</v>
      </c>
      <c r="AB12" s="181">
        <v>69</v>
      </c>
      <c r="AC12" s="183">
        <v>0</v>
      </c>
      <c r="AD12" s="183">
        <v>0</v>
      </c>
      <c r="AE12" s="183">
        <v>0</v>
      </c>
      <c r="AF12" s="189">
        <v>0</v>
      </c>
      <c r="AG12" s="202">
        <v>67</v>
      </c>
      <c r="AH12" s="183">
        <v>22</v>
      </c>
      <c r="AI12" s="183">
        <v>14</v>
      </c>
      <c r="AJ12" s="203">
        <v>75</v>
      </c>
      <c r="AK12" s="182">
        <v>0</v>
      </c>
      <c r="AL12" s="183">
        <v>0</v>
      </c>
      <c r="AM12" s="183">
        <v>0</v>
      </c>
      <c r="AN12" s="189">
        <v>0</v>
      </c>
      <c r="AO12" s="259">
        <v>2</v>
      </c>
      <c r="AP12" s="155">
        <v>2</v>
      </c>
      <c r="AQ12" s="155">
        <v>2</v>
      </c>
      <c r="AR12" s="154">
        <v>2</v>
      </c>
      <c r="AS12" s="340" t="s">
        <v>802</v>
      </c>
      <c r="AT12" s="203"/>
      <c r="AU12" s="202"/>
      <c r="AV12" s="203"/>
      <c r="AW12" s="202"/>
      <c r="AX12" s="203"/>
      <c r="AY12" s="126">
        <f t="shared" si="1"/>
        <v>1879</v>
      </c>
      <c r="AZ12" s="127">
        <f t="shared" si="1"/>
        <v>366</v>
      </c>
      <c r="BA12" s="127">
        <f t="shared" si="1"/>
        <v>288</v>
      </c>
      <c r="BB12" s="127">
        <f t="shared" si="1"/>
        <v>1957</v>
      </c>
      <c r="BC12" s="125">
        <f>IF(ISNUMBER(X12),X12," - ")</f>
        <v>156</v>
      </c>
      <c r="BD12" s="126">
        <f t="shared" si="2"/>
        <v>0.78688524590163933</v>
      </c>
      <c r="BE12" s="127">
        <f t="shared" si="3"/>
        <v>6.7951388888888893</v>
      </c>
      <c r="BF12" s="127">
        <f t="shared" si="4"/>
        <v>0.54166666666666663</v>
      </c>
      <c r="BG12" s="196">
        <f t="shared" si="5"/>
        <v>7.7951388888888893</v>
      </c>
      <c r="BH12" s="155">
        <v>2</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871</v>
      </c>
      <c r="EP12" s="999"/>
      <c r="EQ12" s="999"/>
      <c r="ER12" s="1000">
        <v>680</v>
      </c>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6">SUBTOTAL(9,I8:I12)</f>
        <v>1971</v>
      </c>
      <c r="J13" s="184">
        <f t="shared" si="6"/>
        <v>375</v>
      </c>
      <c r="K13" s="184">
        <f t="shared" si="6"/>
        <v>358</v>
      </c>
      <c r="L13" s="184">
        <f t="shared" si="6"/>
        <v>1988</v>
      </c>
      <c r="M13" s="184">
        <f t="shared" si="6"/>
        <v>88</v>
      </c>
      <c r="N13" s="184">
        <f t="shared" si="6"/>
        <v>154</v>
      </c>
      <c r="O13" s="184">
        <f t="shared" si="6"/>
        <v>155</v>
      </c>
      <c r="P13" s="184">
        <f t="shared" si="6"/>
        <v>94</v>
      </c>
      <c r="Q13" s="184">
        <f t="shared" si="6"/>
        <v>47</v>
      </c>
      <c r="R13" s="184">
        <f t="shared" si="6"/>
        <v>2053</v>
      </c>
      <c r="S13" s="184">
        <f t="shared" si="6"/>
        <v>1822</v>
      </c>
      <c r="T13" s="184">
        <f t="shared" si="6"/>
        <v>346</v>
      </c>
      <c r="U13" s="184">
        <f t="shared" si="6"/>
        <v>277</v>
      </c>
      <c r="V13" s="184">
        <f t="shared" si="6"/>
        <v>1891</v>
      </c>
      <c r="W13" s="184">
        <f t="shared" si="6"/>
        <v>51</v>
      </c>
      <c r="X13" s="184">
        <f t="shared" si="6"/>
        <v>156</v>
      </c>
      <c r="Y13" s="184">
        <f t="shared" si="6"/>
        <v>72</v>
      </c>
      <c r="Z13" s="184">
        <f t="shared" si="6"/>
        <v>30</v>
      </c>
      <c r="AA13" s="184">
        <f t="shared" si="6"/>
        <v>33</v>
      </c>
      <c r="AB13" s="184">
        <f t="shared" si="6"/>
        <v>69</v>
      </c>
      <c r="AC13" s="184">
        <f t="shared" si="6"/>
        <v>0</v>
      </c>
      <c r="AD13" s="184">
        <f t="shared" si="6"/>
        <v>0</v>
      </c>
      <c r="AE13" s="184">
        <f t="shared" si="6"/>
        <v>0</v>
      </c>
      <c r="AF13" s="184">
        <f>SUBTOTAL(9,AF9:AF12)</f>
        <v>0</v>
      </c>
      <c r="AG13" s="184">
        <f t="shared" ref="AG13:AT13" si="7">SUBTOTAL(9,AG8:AG12)</f>
        <v>67</v>
      </c>
      <c r="AH13" s="184">
        <f t="shared" si="7"/>
        <v>22</v>
      </c>
      <c r="AI13" s="184">
        <f t="shared" si="7"/>
        <v>14</v>
      </c>
      <c r="AJ13" s="184">
        <f t="shared" si="7"/>
        <v>75</v>
      </c>
      <c r="AK13" s="184">
        <f t="shared" si="7"/>
        <v>0</v>
      </c>
      <c r="AL13" s="184">
        <f t="shared" si="7"/>
        <v>0</v>
      </c>
      <c r="AM13" s="184">
        <f t="shared" si="7"/>
        <v>0</v>
      </c>
      <c r="AN13" s="184">
        <f t="shared" si="7"/>
        <v>0</v>
      </c>
      <c r="AO13" s="184">
        <f t="shared" si="7"/>
        <v>3</v>
      </c>
      <c r="AP13" s="184">
        <f t="shared" si="7"/>
        <v>2</v>
      </c>
      <c r="AQ13" s="184">
        <f t="shared" si="7"/>
        <v>2</v>
      </c>
      <c r="AR13" s="184">
        <f t="shared" si="7"/>
        <v>2</v>
      </c>
      <c r="AS13" s="184">
        <f t="shared" si="7"/>
        <v>0</v>
      </c>
      <c r="AT13" s="184">
        <f t="shared" si="7"/>
        <v>0</v>
      </c>
      <c r="AU13" s="204"/>
      <c r="AV13" s="132"/>
      <c r="AW13" s="204"/>
      <c r="AX13" s="132"/>
      <c r="AY13" s="184">
        <f>SUBTOTAL(9,AY8:AY12)</f>
        <v>1889</v>
      </c>
      <c r="AZ13" s="184">
        <f>SUBTOTAL(9,AZ8:AZ12)</f>
        <v>368</v>
      </c>
      <c r="BA13" s="184">
        <f>SUBTOTAL(9,BA8:BA12)</f>
        <v>291</v>
      </c>
      <c r="BB13" s="184">
        <f>SUBTOTAL(9,BB8:BB12)</f>
        <v>1966</v>
      </c>
      <c r="BC13" s="184">
        <f>SUBTOTAL(9,BC8:BC12)</f>
        <v>159</v>
      </c>
      <c r="BD13" s="205">
        <f>IF(ISNUMBER(BA13/AZ13),BA13/AZ13," - ")</f>
        <v>0.79076086956521741</v>
      </c>
      <c r="BE13" s="206">
        <f>IF(ISNUMBER(BB13/BA13),BB13/BA13, " - ")</f>
        <v>6.7560137457044673</v>
      </c>
      <c r="BF13" s="206">
        <f>IF(ISNUMBER(BC13/BA13),BC13/BA13, " - ")</f>
        <v>0.54639175257731953</v>
      </c>
      <c r="BG13" s="207">
        <f>IF(ISNUMBER((AY13+AZ13)/BA13),(AY13+AZ13)/BA13," - ")</f>
        <v>7.7560137457044673</v>
      </c>
      <c r="BH13" s="140">
        <f>SUBTOTAL(9,BH8:BH12)</f>
        <v>3</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t="s">
        <v>488</v>
      </c>
      <c r="J15" s="183" t="s">
        <v>484</v>
      </c>
      <c r="K15" s="183" t="s">
        <v>485</v>
      </c>
      <c r="L15" s="183" t="s">
        <v>486</v>
      </c>
      <c r="M15" s="183" t="s">
        <v>491</v>
      </c>
      <c r="N15" s="183" t="s">
        <v>150</v>
      </c>
      <c r="O15" s="181" t="s">
        <v>225</v>
      </c>
      <c r="P15" s="183" t="s">
        <v>470</v>
      </c>
      <c r="Q15" s="183" t="s">
        <v>471</v>
      </c>
      <c r="R15" s="183" t="s">
        <v>472</v>
      </c>
      <c r="S15" s="183"/>
      <c r="T15" s="183"/>
      <c r="U15" s="183"/>
      <c r="V15" s="183"/>
      <c r="W15" s="183"/>
      <c r="X15" s="189"/>
      <c r="Y15" s="202"/>
      <c r="Z15" s="183"/>
      <c r="AA15" s="183"/>
      <c r="AB15" s="183"/>
      <c r="AC15" s="183" t="s">
        <v>44</v>
      </c>
      <c r="AD15" s="183" t="s">
        <v>48</v>
      </c>
      <c r="AE15" s="183" t="s">
        <v>49</v>
      </c>
      <c r="AF15" s="189" t="s">
        <v>50</v>
      </c>
      <c r="AG15" s="202"/>
      <c r="AH15" s="183"/>
      <c r="AI15" s="183"/>
      <c r="AJ15" s="203"/>
      <c r="AK15" s="182"/>
      <c r="AL15" s="183"/>
      <c r="AM15" s="183"/>
      <c r="AN15" s="189"/>
      <c r="AO15" s="259">
        <v>0</v>
      </c>
      <c r="AP15" s="155">
        <v>0</v>
      </c>
      <c r="AQ15" s="155">
        <v>0</v>
      </c>
      <c r="AR15" s="155">
        <v>0</v>
      </c>
      <c r="AS15" s="340" t="s">
        <v>527</v>
      </c>
      <c r="AT15" s="203" t="s">
        <v>326</v>
      </c>
      <c r="AU15" s="202"/>
      <c r="AV15" s="203"/>
      <c r="AW15" s="202"/>
      <c r="AX15" s="203"/>
      <c r="AY15" s="128" t="str">
        <f t="shared" ref="AY15:BB16" si="9">IF(ISNUMBER(IF(D_I="SI",S15,S15+AK15)),IF(D_I="SI",S15,S15+AK15)," - ")</f>
        <v xml:space="preserve"> - </v>
      </c>
      <c r="AZ15" s="129" t="str">
        <f t="shared" si="9"/>
        <v xml:space="preserve"> - </v>
      </c>
      <c r="BA15" s="129" t="str">
        <f t="shared" si="9"/>
        <v xml:space="preserve"> - </v>
      </c>
      <c r="BB15" s="129" t="str">
        <f t="shared" si="9"/>
        <v xml:space="preserve"> - </v>
      </c>
      <c r="BC15" s="125" t="str">
        <f>IF(ISNUMBER(W15),W15," - ")</f>
        <v xml:space="preserve"> - </v>
      </c>
      <c r="BD15" s="126" t="str">
        <f>IF(ISNUMBER(BA15/AZ15),BA15/AZ15," - ")</f>
        <v xml:space="preserve"> - </v>
      </c>
      <c r="BE15" s="127" t="str">
        <f>IF(ISNUMBER(BB15/BA15),BB15/BA15, " - ")</f>
        <v xml:space="preserve"> - </v>
      </c>
      <c r="BF15" s="127" t="str">
        <f>IF(ISNUMBER(BC15/BA15),BC15/BA15, " - ")</f>
        <v xml:space="preserve"> - </v>
      </c>
      <c r="BG15" s="196" t="str">
        <f t="shared" ref="BG15:BG16" si="10">IF(ISNUMBER((AY15+AZ15)/BA15),(AY15+AZ15)/BA15," - ")</f>
        <v xml:space="preserve"> - </v>
      </c>
      <c r="BH15" s="155">
        <v>0</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803</v>
      </c>
      <c r="EP15" s="998"/>
      <c r="EQ15" s="998"/>
      <c r="ER15" s="1002">
        <v>3300</v>
      </c>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v>1352</v>
      </c>
      <c r="J16" s="183">
        <v>344</v>
      </c>
      <c r="K16" s="183">
        <v>354</v>
      </c>
      <c r="L16" s="183">
        <v>1342</v>
      </c>
      <c r="M16" s="183">
        <v>62</v>
      </c>
      <c r="N16" s="183">
        <v>227</v>
      </c>
      <c r="O16" s="181">
        <v>9</v>
      </c>
      <c r="P16" s="183">
        <v>6</v>
      </c>
      <c r="Q16" s="183">
        <v>9</v>
      </c>
      <c r="R16" s="183">
        <v>75</v>
      </c>
      <c r="S16" s="183">
        <v>754</v>
      </c>
      <c r="T16" s="183">
        <v>691</v>
      </c>
      <c r="U16" s="183">
        <v>218</v>
      </c>
      <c r="V16" s="183">
        <v>1227</v>
      </c>
      <c r="W16" s="183">
        <v>26</v>
      </c>
      <c r="X16" s="189">
        <v>156</v>
      </c>
      <c r="Y16" s="202">
        <v>0</v>
      </c>
      <c r="Z16" s="183">
        <v>0</v>
      </c>
      <c r="AA16" s="183">
        <v>0</v>
      </c>
      <c r="AB16" s="183">
        <v>0</v>
      </c>
      <c r="AC16" s="183">
        <v>0</v>
      </c>
      <c r="AD16" s="183">
        <v>0</v>
      </c>
      <c r="AE16" s="183">
        <v>0</v>
      </c>
      <c r="AF16" s="189">
        <v>0</v>
      </c>
      <c r="AG16" s="202">
        <v>0</v>
      </c>
      <c r="AH16" s="183">
        <v>0</v>
      </c>
      <c r="AI16" s="183">
        <v>0</v>
      </c>
      <c r="AJ16" s="203">
        <v>0</v>
      </c>
      <c r="AK16" s="182">
        <v>0</v>
      </c>
      <c r="AL16" s="183">
        <v>0</v>
      </c>
      <c r="AM16" s="183">
        <v>0</v>
      </c>
      <c r="AN16" s="189">
        <v>0</v>
      </c>
      <c r="AO16" s="259">
        <v>2</v>
      </c>
      <c r="AP16" s="155">
        <v>2</v>
      </c>
      <c r="AQ16" s="155">
        <v>2</v>
      </c>
      <c r="AR16" s="155">
        <v>2</v>
      </c>
      <c r="AS16" s="340" t="s">
        <v>487</v>
      </c>
      <c r="AT16" s="203"/>
      <c r="AU16" s="202"/>
      <c r="AV16" s="203"/>
      <c r="AW16" s="202"/>
      <c r="AX16" s="203"/>
      <c r="AY16" s="126">
        <f t="shared" si="9"/>
        <v>754</v>
      </c>
      <c r="AZ16" s="127">
        <f t="shared" si="9"/>
        <v>691</v>
      </c>
      <c r="BA16" s="127">
        <f t="shared" si="9"/>
        <v>218</v>
      </c>
      <c r="BB16" s="127">
        <f t="shared" si="9"/>
        <v>1227</v>
      </c>
      <c r="BC16" s="125">
        <f>IF(ISNUMBER(W16),W16," - ")</f>
        <v>26</v>
      </c>
      <c r="BD16" s="126">
        <f t="shared" ref="BD16" si="11">IF(ISNUMBER(BA16/AZ16),BA16/AZ16," - ")</f>
        <v>0.31548480463096962</v>
      </c>
      <c r="BE16" s="127">
        <f t="shared" ref="BE16" si="12">IF(ISNUMBER(BB16/BA16),BB16/BA16, " - ")</f>
        <v>5.6284403669724767</v>
      </c>
      <c r="BF16" s="127">
        <f t="shared" ref="BF16" si="13">IF(ISNUMBER(BC16/BA16),BC16/BA16, " - ")</f>
        <v>0.11926605504587157</v>
      </c>
      <c r="BG16" s="196">
        <f t="shared" si="10"/>
        <v>6.6284403669724767</v>
      </c>
      <c r="BH16" s="155">
        <v>2</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773</v>
      </c>
      <c r="EP16" s="998"/>
      <c r="EQ16" s="998"/>
      <c r="ER16" s="1002">
        <v>1000</v>
      </c>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v>46</v>
      </c>
      <c r="J17" s="183">
        <v>31</v>
      </c>
      <c r="K17" s="183">
        <v>25</v>
      </c>
      <c r="L17" s="183">
        <v>52</v>
      </c>
      <c r="M17" s="183">
        <v>5</v>
      </c>
      <c r="N17" s="183">
        <v>24</v>
      </c>
      <c r="O17" s="183">
        <v>1</v>
      </c>
      <c r="P17" s="183">
        <v>3</v>
      </c>
      <c r="Q17" s="183">
        <v>1</v>
      </c>
      <c r="R17" s="183">
        <v>3</v>
      </c>
      <c r="S17" s="183">
        <v>33</v>
      </c>
      <c r="T17" s="183">
        <v>45</v>
      </c>
      <c r="U17" s="183">
        <v>46</v>
      </c>
      <c r="V17" s="183">
        <v>32</v>
      </c>
      <c r="W17" s="183">
        <v>3</v>
      </c>
      <c r="X17" s="189">
        <v>36</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1</v>
      </c>
      <c r="AP17" s="155">
        <v>0</v>
      </c>
      <c r="AQ17" s="154">
        <v>0</v>
      </c>
      <c r="AR17" s="155">
        <v>0</v>
      </c>
      <c r="AS17" s="339" t="s">
        <v>792</v>
      </c>
      <c r="AT17" s="209"/>
      <c r="AU17" s="200"/>
      <c r="AV17" s="209"/>
      <c r="AW17" s="200"/>
      <c r="AX17" s="209"/>
      <c r="AY17" s="128">
        <f t="shared" ref="AY17:BB17" si="14">IF(ISNUMBER(S17),S17," - ")</f>
        <v>33</v>
      </c>
      <c r="AZ17" s="129">
        <f t="shared" si="14"/>
        <v>45</v>
      </c>
      <c r="BA17" s="129">
        <f t="shared" si="14"/>
        <v>46</v>
      </c>
      <c r="BB17" s="129">
        <f t="shared" si="14"/>
        <v>32</v>
      </c>
      <c r="BC17" s="125">
        <f>IF(ISNUMBER(W17),W17," - ")</f>
        <v>3</v>
      </c>
      <c r="BD17" s="126">
        <f>IF(ISNUMBER(BA17/AZ17),BA17/AZ17," - ")</f>
        <v>1.0222222222222221</v>
      </c>
      <c r="BE17" s="127">
        <f>IF(ISNUMBER(BB17/BA17),BB17/BA17, " - ")</f>
        <v>0.69565217391304346</v>
      </c>
      <c r="BF17" s="127">
        <f>IF(ISNUMBER(BC17/BA17),BC17/BA17, " - ")</f>
        <v>6.5217391304347824E-2</v>
      </c>
      <c r="BG17" s="196">
        <f>IF(ISNUMBER((AY17+AZ17)/BA17),(AY17+AZ17)/BA17," - ")</f>
        <v>1.6956521739130435</v>
      </c>
      <c r="BH17" s="155">
        <v>1</v>
      </c>
      <c r="BI17" s="155"/>
      <c r="BJ17" s="200"/>
      <c r="BK17" s="154"/>
      <c r="BL17" s="154"/>
      <c r="BM17" s="154">
        <v>1800</v>
      </c>
      <c r="BN17" s="154"/>
      <c r="BO17" s="154"/>
      <c r="BP17" s="154"/>
      <c r="BQ17" s="154"/>
      <c r="BR17" s="154"/>
      <c r="BS17" s="154"/>
      <c r="BT17" s="154"/>
      <c r="BU17" s="154"/>
      <c r="BV17" s="154"/>
      <c r="BW17" s="154"/>
      <c r="BX17" s="154"/>
      <c r="BY17" s="174" t="s">
        <v>729</v>
      </c>
      <c r="BZ17" s="174" t="s">
        <v>730</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774</v>
      </c>
      <c r="EP17" s="339"/>
      <c r="EQ17" s="339"/>
      <c r="ER17" s="1001">
        <v>1600</v>
      </c>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15">SUBTOTAL(9,I14:I17)</f>
        <v>1398</v>
      </c>
      <c r="J18" s="184">
        <f t="shared" si="15"/>
        <v>375</v>
      </c>
      <c r="K18" s="184">
        <f t="shared" si="15"/>
        <v>379</v>
      </c>
      <c r="L18" s="184">
        <f t="shared" si="15"/>
        <v>1394</v>
      </c>
      <c r="M18" s="184">
        <f t="shared" si="15"/>
        <v>67</v>
      </c>
      <c r="N18" s="184">
        <f t="shared" si="15"/>
        <v>251</v>
      </c>
      <c r="O18" s="184">
        <f t="shared" si="15"/>
        <v>10</v>
      </c>
      <c r="P18" s="184">
        <f t="shared" si="15"/>
        <v>9</v>
      </c>
      <c r="Q18" s="184">
        <f t="shared" si="15"/>
        <v>10</v>
      </c>
      <c r="R18" s="184">
        <f t="shared" si="15"/>
        <v>78</v>
      </c>
      <c r="S18" s="184">
        <f t="shared" si="15"/>
        <v>787</v>
      </c>
      <c r="T18" s="184">
        <f t="shared" si="15"/>
        <v>736</v>
      </c>
      <c r="U18" s="184">
        <f t="shared" si="15"/>
        <v>264</v>
      </c>
      <c r="V18" s="184">
        <f t="shared" si="15"/>
        <v>1259</v>
      </c>
      <c r="W18" s="184">
        <f t="shared" si="15"/>
        <v>29</v>
      </c>
      <c r="X18" s="184">
        <f t="shared" si="15"/>
        <v>192</v>
      </c>
      <c r="Y18" s="184">
        <f t="shared" si="15"/>
        <v>0</v>
      </c>
      <c r="Z18" s="184">
        <f t="shared" si="15"/>
        <v>0</v>
      </c>
      <c r="AA18" s="184">
        <f t="shared" si="15"/>
        <v>0</v>
      </c>
      <c r="AB18" s="184">
        <f t="shared" si="15"/>
        <v>0</v>
      </c>
      <c r="AC18" s="184">
        <f t="shared" si="15"/>
        <v>0</v>
      </c>
      <c r="AD18" s="184">
        <f t="shared" si="15"/>
        <v>0</v>
      </c>
      <c r="AE18" s="184">
        <f t="shared" si="15"/>
        <v>0</v>
      </c>
      <c r="AF18" s="184">
        <f t="shared" si="15"/>
        <v>0</v>
      </c>
      <c r="AG18" s="184">
        <f t="shared" si="15"/>
        <v>0</v>
      </c>
      <c r="AH18" s="184">
        <f t="shared" si="15"/>
        <v>0</v>
      </c>
      <c r="AI18" s="184">
        <f t="shared" si="15"/>
        <v>0</v>
      </c>
      <c r="AJ18" s="184">
        <f t="shared" si="15"/>
        <v>0</v>
      </c>
      <c r="AK18" s="184">
        <f t="shared" si="15"/>
        <v>0</v>
      </c>
      <c r="AL18" s="184">
        <f t="shared" si="15"/>
        <v>0</v>
      </c>
      <c r="AM18" s="184">
        <f t="shared" si="15"/>
        <v>0</v>
      </c>
      <c r="AN18" s="184">
        <f t="shared" si="15"/>
        <v>0</v>
      </c>
      <c r="AO18" s="184">
        <f t="shared" si="15"/>
        <v>3</v>
      </c>
      <c r="AP18" s="184">
        <f t="shared" si="15"/>
        <v>2</v>
      </c>
      <c r="AQ18" s="184">
        <f t="shared" si="15"/>
        <v>2</v>
      </c>
      <c r="AR18" s="184">
        <f t="shared" si="15"/>
        <v>2</v>
      </c>
      <c r="AS18" s="184">
        <f t="shared" si="15"/>
        <v>0</v>
      </c>
      <c r="AT18" s="184">
        <f t="shared" si="15"/>
        <v>0</v>
      </c>
      <c r="AU18" s="204"/>
      <c r="AV18" s="132"/>
      <c r="AW18" s="204"/>
      <c r="AX18" s="132"/>
      <c r="AY18" s="184">
        <f>SUBTOTAL(9,AY14:AY17)</f>
        <v>787</v>
      </c>
      <c r="AZ18" s="184">
        <f>SUBTOTAL(9,AZ14:AZ17)</f>
        <v>736</v>
      </c>
      <c r="BA18" s="184">
        <f>SUBTOTAL(9,BA14:BA17)</f>
        <v>264</v>
      </c>
      <c r="BB18" s="184">
        <f>SUBTOTAL(9,BB14:BB17)</f>
        <v>1259</v>
      </c>
      <c r="BC18" s="184">
        <f>SUBTOTAL(9,BC14:BC17)</f>
        <v>29</v>
      </c>
      <c r="BD18" s="205">
        <f>IF(ISNUMBER(BA18/AZ18),BA18/AZ18," - ")</f>
        <v>0.35869565217391303</v>
      </c>
      <c r="BE18" s="206">
        <f>IF(ISNUMBER(BB18/BA18),BB18/BA18, " - ")</f>
        <v>4.7689393939393936</v>
      </c>
      <c r="BF18" s="206">
        <f>IF(ISNUMBER(BC18/BA18),BC18/BA18, " - ")</f>
        <v>0.10984848484848485</v>
      </c>
      <c r="BG18" s="207">
        <f>IF(ISNUMBER((AY18+AZ18)/BA18),(AY18+AZ18)/BA18," - ")</f>
        <v>5.7689393939393936</v>
      </c>
      <c r="BH18" s="184">
        <f>SUBTOTAL(9,BH14:BH17)</f>
        <v>3</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18">SUBTOTAL(9,I9:I18)</f>
        <v>3369</v>
      </c>
      <c r="J19" s="134">
        <f t="shared" si="18"/>
        <v>750</v>
      </c>
      <c r="K19" s="134">
        <f t="shared" si="18"/>
        <v>737</v>
      </c>
      <c r="L19" s="134">
        <f t="shared" si="18"/>
        <v>3382</v>
      </c>
      <c r="M19" s="134">
        <f t="shared" si="18"/>
        <v>155</v>
      </c>
      <c r="N19" s="134">
        <f t="shared" si="18"/>
        <v>405</v>
      </c>
      <c r="O19" s="134">
        <f t="shared" si="18"/>
        <v>165</v>
      </c>
      <c r="P19" s="134">
        <f t="shared" si="18"/>
        <v>103</v>
      </c>
      <c r="Q19" s="134">
        <f t="shared" si="18"/>
        <v>57</v>
      </c>
      <c r="R19" s="134">
        <f t="shared" si="18"/>
        <v>2131</v>
      </c>
      <c r="S19" s="134">
        <f t="shared" si="18"/>
        <v>2609</v>
      </c>
      <c r="T19" s="134">
        <f t="shared" si="18"/>
        <v>1082</v>
      </c>
      <c r="U19" s="134">
        <f t="shared" si="18"/>
        <v>541</v>
      </c>
      <c r="V19" s="134">
        <f t="shared" si="18"/>
        <v>3150</v>
      </c>
      <c r="W19" s="134">
        <f t="shared" si="18"/>
        <v>80</v>
      </c>
      <c r="X19" s="134">
        <f t="shared" si="18"/>
        <v>348</v>
      </c>
      <c r="Y19" s="134">
        <f t="shared" si="18"/>
        <v>72</v>
      </c>
      <c r="Z19" s="134">
        <f t="shared" si="18"/>
        <v>30</v>
      </c>
      <c r="AA19" s="134">
        <f t="shared" si="18"/>
        <v>33</v>
      </c>
      <c r="AB19" s="134">
        <f t="shared" si="18"/>
        <v>69</v>
      </c>
      <c r="AC19" s="134">
        <f t="shared" si="18"/>
        <v>0</v>
      </c>
      <c r="AD19" s="134">
        <f t="shared" si="18"/>
        <v>0</v>
      </c>
      <c r="AE19" s="134">
        <f t="shared" si="18"/>
        <v>0</v>
      </c>
      <c r="AF19" s="134">
        <f t="shared" si="18"/>
        <v>0</v>
      </c>
      <c r="AG19" s="134">
        <f t="shared" si="18"/>
        <v>67</v>
      </c>
      <c r="AH19" s="134">
        <f t="shared" si="18"/>
        <v>22</v>
      </c>
      <c r="AI19" s="134">
        <f t="shared" si="18"/>
        <v>14</v>
      </c>
      <c r="AJ19" s="134">
        <f t="shared" si="18"/>
        <v>75</v>
      </c>
      <c r="AK19" s="134">
        <f t="shared" si="18"/>
        <v>0</v>
      </c>
      <c r="AL19" s="134">
        <f t="shared" si="18"/>
        <v>0</v>
      </c>
      <c r="AM19" s="134">
        <f t="shared" si="18"/>
        <v>0</v>
      </c>
      <c r="AN19" s="210">
        <f t="shared" si="18"/>
        <v>0</v>
      </c>
      <c r="AO19" s="211">
        <v>3</v>
      </c>
      <c r="AP19" s="211">
        <v>2</v>
      </c>
      <c r="AQ19" s="211">
        <v>2</v>
      </c>
      <c r="AR19" s="211">
        <v>2</v>
      </c>
      <c r="AS19" s="153">
        <f t="shared" si="18"/>
        <v>0</v>
      </c>
      <c r="AT19" s="153">
        <f t="shared" si="18"/>
        <v>0</v>
      </c>
      <c r="AU19" s="211"/>
      <c r="AV19" s="212"/>
      <c r="AW19" s="211"/>
      <c r="AX19" s="212"/>
      <c r="AY19" s="133">
        <f>SUBTOTAL(9,AY9:AY18)</f>
        <v>2676</v>
      </c>
      <c r="AZ19" s="134">
        <f>SUBTOTAL(9,AZ9:AZ18)</f>
        <v>1104</v>
      </c>
      <c r="BA19" s="134">
        <f>SUBTOTAL(9,BA9:BA18)</f>
        <v>555</v>
      </c>
      <c r="BB19" s="134">
        <f>SUBTOTAL(9,BB9:BB18)</f>
        <v>3225</v>
      </c>
      <c r="BC19" s="135">
        <f>SUBTOTAL(9,BC9:BC18)</f>
        <v>188</v>
      </c>
      <c r="BD19" s="213">
        <f>IF(ISNUMBER(BA19/AZ19),BA19/AZ19," - ")</f>
        <v>0.50271739130434778</v>
      </c>
      <c r="BE19" s="210">
        <f>IF(ISNUMBER(BB19/BA19),BB19/BA19, " - ")</f>
        <v>5.8108108108108105</v>
      </c>
      <c r="BF19" s="210">
        <f>IF(ISNUMBER(BC19/BA19),BC19/BA19, " - ")</f>
        <v>0.33873873873873872</v>
      </c>
      <c r="BG19" s="135">
        <f>IF(ISNUMBER((AY19+AZ19)/BA19),(AY19+AZ19)/BA19," - ")</f>
        <v>6.8108108108108105</v>
      </c>
      <c r="BH19" s="211">
        <f>SUBTOTAL(9,BH9:BH18)</f>
        <v>6</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BClFNNEkeUgfLMaHfxntbZ9I1Obt2OXZkk6XCfULMA2JJCOIrDj2fTjhZK0niD9rE8a/plmXctcLR7J3L6/9Pg==" saltValue="yY2ikoAKwo+KP5XWK5atug==" spinCount="100000" sheet="1" objects="1" scenarios="1"/>
  <mergeCells count="124">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CP5:CP7"/>
    <mergeCell ref="A5:A6"/>
    <mergeCell ref="B5:B7"/>
    <mergeCell ref="C5:C7"/>
    <mergeCell ref="P6:R6"/>
    <mergeCell ref="D5:H6"/>
    <mergeCell ref="AG6:AJ6"/>
    <mergeCell ref="I5:AN5"/>
    <mergeCell ref="I6:O6"/>
    <mergeCell ref="S6:X6"/>
    <mergeCell ref="Y6:AB6"/>
    <mergeCell ref="AK6:AN6"/>
    <mergeCell ref="AC6:AF6"/>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EZ5:EZ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s>
  <phoneticPr fontId="0" type="noConversion"/>
  <conditionalFormatting sqref="I15:R17 CO16 CS16:DD16 BK16:BX16 CS11:DG11 AO11:AS11 AU11 I9:R9 Y9:AB9 AP10 AR10 BH10:BI11 Y11:AB12 BK11:BU11 CE11:CJ11 I11:R12 AO16:AO17 BH16:BI17 AP17 AR17 EP16:EQ16 EV16:EW16">
    <cfRule type="cellIs" dxfId="595" priority="430" stopIfTrue="1" operator="equal">
      <formula>$A$30</formula>
    </cfRule>
  </conditionalFormatting>
  <conditionalFormatting sqref="I13:BC14 I18:BC18 EO18:EQ18 I19:EQ19 EX19:EZ19">
    <cfRule type="cellIs" dxfId="594" priority="1753" stopIfTrue="1" operator="equal">
      <formula>$A$31</formula>
    </cfRule>
  </conditionalFormatting>
  <conditionalFormatting sqref="I1:DG1">
    <cfRule type="cellIs" dxfId="593" priority="2054" stopIfTrue="1" operator="equal">
      <formula>$A$31</formula>
    </cfRule>
  </conditionalFormatting>
  <conditionalFormatting sqref="I8:EY8">
    <cfRule type="cellIs" dxfId="592" priority="36"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Z12">
    <cfRule type="cellIs" dxfId="591" priority="492" stopIfTrue="1" operator="equal">
      <formula>$A$31</formula>
    </cfRule>
  </conditionalFormatting>
  <conditionalFormatting sqref="AP16:AS16">
    <cfRule type="cellIs" dxfId="590" priority="1848" stopIfTrue="1" operator="equal">
      <formula>$A$30</formula>
    </cfRule>
  </conditionalFormatting>
  <conditionalFormatting sqref="AS15:AS16">
    <cfRule type="cellIs" dxfId="589" priority="1772" stopIfTrue="1" operator="equal">
      <formula>$A$30</formula>
    </cfRule>
    <cfRule type="cellIs" dxfId="588" priority="1844" stopIfTrue="1" operator="equal">
      <formula>$A$30</formula>
    </cfRule>
  </conditionalFormatting>
  <conditionalFormatting sqref="AS15:AS17">
    <cfRule type="cellIs" dxfId="587" priority="1840" stopIfTrue="1" operator="equal">
      <formula>$A$31</formula>
    </cfRule>
    <cfRule type="cellIs" dxfId="586" priority="1843" stopIfTrue="1" operator="equal">
      <formula>$A$31</formula>
    </cfRule>
  </conditionalFormatting>
  <conditionalFormatting sqref="AS16">
    <cfRule type="cellIs" dxfId="585" priority="1841" stopIfTrue="1" operator="equal">
      <formula>$A$30</formula>
    </cfRule>
  </conditionalFormatting>
  <conditionalFormatting sqref="AU15">
    <cfRule type="cellIs" dxfId="584" priority="1525" stopIfTrue="1" operator="equal">
      <formula>$A$31</formula>
    </cfRule>
    <cfRule type="cellIs" dxfId="583" priority="1527" stopIfTrue="1" operator="equal">
      <formula>$A$30</formula>
    </cfRule>
    <cfRule type="cellIs" dxfId="582" priority="1528" stopIfTrue="1" operator="equal">
      <formula>$A$31</formula>
    </cfRule>
    <cfRule type="cellIs" dxfId="581" priority="1530" stopIfTrue="1" operator="equal">
      <formula>$A$30</formula>
    </cfRule>
    <cfRule type="cellIs" dxfId="580" priority="1531" stopIfTrue="1" operator="equal">
      <formula>$A$31</formula>
    </cfRule>
    <cfRule type="cellIs" dxfId="579" priority="1533" stopIfTrue="1" operator="equal">
      <formula>$A$30</formula>
    </cfRule>
    <cfRule type="cellIs" dxfId="578" priority="1534" stopIfTrue="1" operator="equal">
      <formula>$A$31</formula>
    </cfRule>
    <cfRule type="cellIs" dxfId="577" priority="1536" stopIfTrue="1" operator="equal">
      <formula>$A$30</formula>
    </cfRule>
    <cfRule type="cellIs" dxfId="576" priority="1537" stopIfTrue="1" operator="equal">
      <formula>$A$31</formula>
    </cfRule>
    <cfRule type="cellIs" dxfId="575" priority="1539" stopIfTrue="1" operator="equal">
      <formula>$A$30</formula>
    </cfRule>
    <cfRule type="cellIs" dxfId="574" priority="1540" stopIfTrue="1" operator="equal">
      <formula>$A$31</formula>
    </cfRule>
    <cfRule type="cellIs" dxfId="573" priority="1542" stopIfTrue="1" operator="equal">
      <formula>$A$30</formula>
    </cfRule>
    <cfRule type="cellIs" dxfId="572" priority="1543" stopIfTrue="1" operator="equal">
      <formula>$A$31</formula>
    </cfRule>
  </conditionalFormatting>
  <conditionalFormatting sqref="AU15:AU16">
    <cfRule type="cellIs" dxfId="571" priority="1496" stopIfTrue="1" operator="equal">
      <formula>$A$30</formula>
    </cfRule>
    <cfRule type="cellIs" dxfId="570" priority="1686" stopIfTrue="1" operator="equal">
      <formula>$A$30</formula>
    </cfRule>
  </conditionalFormatting>
  <conditionalFormatting sqref="AU16">
    <cfRule type="cellIs" dxfId="569" priority="1475" stopIfTrue="1" operator="equal">
      <formula>$A$30</formula>
    </cfRule>
    <cfRule type="cellIs" dxfId="568" priority="1476" stopIfTrue="1" operator="equal">
      <formula>$A$31</formula>
    </cfRule>
    <cfRule type="cellIs" dxfId="567" priority="1478" stopIfTrue="1" operator="equal">
      <formula>$A$30</formula>
    </cfRule>
    <cfRule type="cellIs" dxfId="566" priority="1479" stopIfTrue="1" operator="equal">
      <formula>$A$31</formula>
    </cfRule>
    <cfRule type="cellIs" dxfId="565" priority="1481" stopIfTrue="1" operator="equal">
      <formula>$A$30</formula>
    </cfRule>
    <cfRule type="cellIs" dxfId="564" priority="1482" stopIfTrue="1" operator="equal">
      <formula>$A$31</formula>
    </cfRule>
    <cfRule type="cellIs" dxfId="563" priority="1484" stopIfTrue="1" operator="equal">
      <formula>$A$30</formula>
    </cfRule>
    <cfRule type="cellIs" dxfId="562" priority="1485" stopIfTrue="1" operator="equal">
      <formula>$A$31</formula>
    </cfRule>
    <cfRule type="cellIs" dxfId="561" priority="1487" stopIfTrue="1" operator="equal">
      <formula>$A$30</formula>
    </cfRule>
    <cfRule type="cellIs" dxfId="560" priority="1488" stopIfTrue="1" operator="equal">
      <formula>$A$31</formula>
    </cfRule>
    <cfRule type="cellIs" dxfId="559" priority="1490" stopIfTrue="1" operator="equal">
      <formula>$A$30</formula>
    </cfRule>
    <cfRule type="cellIs" dxfId="558" priority="1491" stopIfTrue="1" operator="equal">
      <formula>$A$31</formula>
    </cfRule>
    <cfRule type="cellIs" dxfId="557" priority="1493" stopIfTrue="1" operator="equal">
      <formula>$A$30</formula>
    </cfRule>
    <cfRule type="cellIs" dxfId="556" priority="1494" stopIfTrue="1" operator="equal">
      <formula>$A$31</formula>
    </cfRule>
  </conditionalFormatting>
  <conditionalFormatting sqref="AU17">
    <cfRule type="cellIs" dxfId="555" priority="1424" stopIfTrue="1" operator="equal">
      <formula>$A$31</formula>
    </cfRule>
  </conditionalFormatting>
  <conditionalFormatting sqref="AW11">
    <cfRule type="cellIs" dxfId="554" priority="1651" stopIfTrue="1" operator="equal">
      <formula>$A$30</formula>
    </cfRule>
    <cfRule type="cellIs" dxfId="553" priority="1653" stopIfTrue="1" operator="equal">
      <formula>$A$30</formula>
    </cfRule>
    <cfRule type="cellIs" dxfId="552" priority="1655" stopIfTrue="1" operator="equal">
      <formula>$A$30</formula>
    </cfRule>
    <cfRule type="cellIs" dxfId="551" priority="1657" stopIfTrue="1" operator="equal">
      <formula>$A$30</formula>
    </cfRule>
    <cfRule type="cellIs" dxfId="550" priority="1659" stopIfTrue="1" operator="equal">
      <formula>$A$30</formula>
    </cfRule>
    <cfRule type="cellIs" dxfId="549" priority="1661" stopIfTrue="1" operator="equal">
      <formula>$A$30</formula>
    </cfRule>
    <cfRule type="cellIs" dxfId="548" priority="1663" stopIfTrue="1" operator="equal">
      <formula>$A$30</formula>
    </cfRule>
    <cfRule type="cellIs" dxfId="547" priority="1665" stopIfTrue="1" operator="equal">
      <formula>$A$30</formula>
    </cfRule>
    <cfRule type="cellIs" dxfId="546" priority="1667" stopIfTrue="1" operator="equal">
      <formula>$A$30</formula>
    </cfRule>
    <cfRule type="cellIs" dxfId="545" priority="1669" stopIfTrue="1" operator="equal">
      <formula>$A$30</formula>
    </cfRule>
    <cfRule type="cellIs" dxfId="544" priority="1671" stopIfTrue="1" operator="equal">
      <formula>$A$30</formula>
    </cfRule>
    <cfRule type="cellIs" dxfId="543" priority="1673" stopIfTrue="1" operator="equal">
      <formula>$A$30</formula>
    </cfRule>
    <cfRule type="cellIs" dxfId="542" priority="1675" stopIfTrue="1" operator="equal">
      <formula>$A$30</formula>
    </cfRule>
    <cfRule type="cellIs" dxfId="541" priority="1677" stopIfTrue="1" operator="equal">
      <formula>$A$30</formula>
    </cfRule>
    <cfRule type="cellIs" dxfId="540" priority="1679" stopIfTrue="1" operator="equal">
      <formula>$A$30</formula>
    </cfRule>
  </conditionalFormatting>
  <conditionalFormatting sqref="AW15">
    <cfRule type="cellIs" dxfId="539" priority="1506" stopIfTrue="1" operator="equal">
      <formula>$A$30</formula>
    </cfRule>
    <cfRule type="cellIs" dxfId="538" priority="1507" stopIfTrue="1" operator="equal">
      <formula>$A$31</formula>
    </cfRule>
    <cfRule type="cellIs" dxfId="537" priority="1509" stopIfTrue="1" operator="equal">
      <formula>$A$30</formula>
    </cfRule>
    <cfRule type="cellIs" dxfId="536" priority="1510" stopIfTrue="1" operator="equal">
      <formula>$A$31</formula>
    </cfRule>
    <cfRule type="cellIs" dxfId="535" priority="1512" stopIfTrue="1" operator="equal">
      <formula>$A$30</formula>
    </cfRule>
    <cfRule type="cellIs" dxfId="534" priority="1513" stopIfTrue="1" operator="equal">
      <formula>$A$31</formula>
    </cfRule>
    <cfRule type="cellIs" dxfId="533" priority="1515" stopIfTrue="1" operator="equal">
      <formula>$A$30</formula>
    </cfRule>
    <cfRule type="cellIs" dxfId="532" priority="1516" stopIfTrue="1" operator="equal">
      <formula>$A$31</formula>
    </cfRule>
    <cfRule type="cellIs" dxfId="531" priority="1518" stopIfTrue="1" operator="equal">
      <formula>$A$30</formula>
    </cfRule>
    <cfRule type="cellIs" dxfId="530" priority="1519" stopIfTrue="1" operator="equal">
      <formula>$A$31</formula>
    </cfRule>
    <cfRule type="cellIs" dxfId="529" priority="1521" stopIfTrue="1" operator="equal">
      <formula>$A$30</formula>
    </cfRule>
    <cfRule type="cellIs" dxfId="528" priority="1522" stopIfTrue="1" operator="equal">
      <formula>$A$31</formula>
    </cfRule>
  </conditionalFormatting>
  <conditionalFormatting sqref="AW15:AW16">
    <cfRule type="cellIs" dxfId="527" priority="1472" stopIfTrue="1" operator="equal">
      <formula>$A$30</formula>
    </cfRule>
    <cfRule type="cellIs" dxfId="526" priority="1473" stopIfTrue="1" operator="equal">
      <formula>$A$31</formula>
    </cfRule>
  </conditionalFormatting>
  <conditionalFormatting sqref="AW16">
    <cfRule type="cellIs" dxfId="525" priority="1454" stopIfTrue="1" operator="equal">
      <formula>$A$30</formula>
    </cfRule>
    <cfRule type="cellIs" dxfId="524" priority="1455" stopIfTrue="1" operator="equal">
      <formula>$A$31</formula>
    </cfRule>
    <cfRule type="cellIs" dxfId="523" priority="1457" stopIfTrue="1" operator="equal">
      <formula>$A$30</formula>
    </cfRule>
    <cfRule type="cellIs" dxfId="522" priority="1458" stopIfTrue="1" operator="equal">
      <formula>$A$31</formula>
    </cfRule>
    <cfRule type="cellIs" dxfId="521" priority="1460" stopIfTrue="1" operator="equal">
      <formula>$A$30</formula>
    </cfRule>
    <cfRule type="cellIs" dxfId="520" priority="1461" stopIfTrue="1" operator="equal">
      <formula>$A$31</formula>
    </cfRule>
    <cfRule type="cellIs" dxfId="519" priority="1463" stopIfTrue="1" operator="equal">
      <formula>$A$30</formula>
    </cfRule>
    <cfRule type="cellIs" dxfId="518" priority="1464" stopIfTrue="1" operator="equal">
      <formula>$A$31</formula>
    </cfRule>
    <cfRule type="cellIs" dxfId="517" priority="1466" stopIfTrue="1" operator="equal">
      <formula>$A$30</formula>
    </cfRule>
    <cfRule type="cellIs" dxfId="516" priority="1467" stopIfTrue="1" operator="equal">
      <formula>$A$31</formula>
    </cfRule>
    <cfRule type="cellIs" dxfId="515" priority="1469" stopIfTrue="1" operator="equal">
      <formula>$A$30</formula>
    </cfRule>
    <cfRule type="cellIs" dxfId="514" priority="1470" stopIfTrue="1" operator="equal">
      <formula>$A$31</formula>
    </cfRule>
  </conditionalFormatting>
  <conditionalFormatting sqref="AW17">
    <cfRule type="cellIs" dxfId="513" priority="1395" stopIfTrue="1" operator="equal">
      <formula>$A$31</formula>
    </cfRule>
  </conditionalFormatting>
  <conditionalFormatting sqref="BD14:BG14">
    <cfRule type="cellIs" dxfId="512" priority="2290" stopIfTrue="1" operator="equal">
      <formula>$A$31</formula>
    </cfRule>
  </conditionalFormatting>
  <conditionalFormatting sqref="BH18:EN18">
    <cfRule type="cellIs" dxfId="511" priority="570" stopIfTrue="1" operator="equal">
      <formula>$A$31</formula>
    </cfRule>
  </conditionalFormatting>
  <conditionalFormatting sqref="BH13:EQ14">
    <cfRule type="cellIs" dxfId="510" priority="220" stopIfTrue="1" operator="equal">
      <formula>$A$31</formula>
    </cfRule>
  </conditionalFormatting>
  <conditionalFormatting sqref="BK12:BX12">
    <cfRule type="cellIs" dxfId="509" priority="2289" stopIfTrue="1" operator="equal">
      <formula>$A$31</formula>
    </cfRule>
  </conditionalFormatting>
  <conditionalFormatting sqref="BK17:CJ17">
    <cfRule type="cellIs" dxfId="508" priority="674" stopIfTrue="1" operator="equal">
      <formula>$A$31</formula>
    </cfRule>
  </conditionalFormatting>
  <conditionalFormatting sqref="BN16:BU16">
    <cfRule type="cellIs" dxfId="507" priority="2089" stopIfTrue="1" operator="equal">
      <formula>$A$30</formula>
    </cfRule>
  </conditionalFormatting>
  <conditionalFormatting sqref="BT16:BU16">
    <cfRule type="cellIs" dxfId="506" priority="2095" stopIfTrue="1" operator="equal">
      <formula>$A$31</formula>
    </cfRule>
  </conditionalFormatting>
  <conditionalFormatting sqref="BY11:BZ11">
    <cfRule type="cellIs" dxfId="505" priority="677" stopIfTrue="1" operator="equal">
      <formula>$A$30</formula>
    </cfRule>
  </conditionalFormatting>
  <conditionalFormatting sqref="BY12:CJ12">
    <cfRule type="cellIs" dxfId="504" priority="676" stopIfTrue="1" operator="equal">
      <formula>$A$31</formula>
    </cfRule>
  </conditionalFormatting>
  <conditionalFormatting sqref="BY16:CJ16">
    <cfRule type="cellIs" dxfId="503" priority="675" stopIfTrue="1" operator="equal">
      <formula>$A$30</formula>
    </cfRule>
  </conditionalFormatting>
  <conditionalFormatting sqref="CO11">
    <cfRule type="cellIs" dxfId="502" priority="2291" stopIfTrue="1" operator="equal">
      <formula>$A$30</formula>
    </cfRule>
  </conditionalFormatting>
  <conditionalFormatting sqref="DB15">
    <cfRule type="cellIs" dxfId="501" priority="1858" stopIfTrue="1" operator="equal">
      <formula>$A$30</formula>
    </cfRule>
    <cfRule type="cellIs" dxfId="500" priority="2076" stopIfTrue="1" operator="equal">
      <formula>$A$30</formula>
    </cfRule>
  </conditionalFormatting>
  <conditionalFormatting sqref="DB15:DE17">
    <cfRule type="cellIs" dxfId="499" priority="2067" stopIfTrue="1" operator="equal">
      <formula>$A$31</formula>
    </cfRule>
    <cfRule type="cellIs" dxfId="498" priority="2071" stopIfTrue="1" operator="equal">
      <formula>$A$31</formula>
    </cfRule>
  </conditionalFormatting>
  <conditionalFormatting sqref="DB16:DE16">
    <cfRule type="cellIs" dxfId="497" priority="1860" stopIfTrue="1" operator="equal">
      <formula>$A$30</formula>
    </cfRule>
    <cfRule type="cellIs" dxfId="496" priority="2069" stopIfTrue="1" operator="equal">
      <formula>$A$30</formula>
    </cfRule>
    <cfRule type="cellIs" dxfId="495" priority="2078" stopIfTrue="1" operator="equal">
      <formula>$A$30</formula>
    </cfRule>
  </conditionalFormatting>
  <conditionalFormatting sqref="DB16:DF16">
    <cfRule type="cellIs" dxfId="494" priority="2048" stopIfTrue="1" operator="equal">
      <formula>$A$30</formula>
    </cfRule>
  </conditionalFormatting>
  <conditionalFormatting sqref="DE17">
    <cfRule type="cellIs" dxfId="493" priority="1900" stopIfTrue="1" operator="equal">
      <formula>$A$30</formula>
    </cfRule>
    <cfRule type="cellIs" dxfId="492" priority="2075" stopIfTrue="1" operator="equal">
      <formula>$A$30</formula>
    </cfRule>
  </conditionalFormatting>
  <conditionalFormatting sqref="DF15:DF17">
    <cfRule type="cellIs" dxfId="491" priority="2037" stopIfTrue="1" operator="equal">
      <formula>$A$31</formula>
    </cfRule>
    <cfRule type="cellIs" dxfId="490" priority="2040" stopIfTrue="1" operator="equal">
      <formula>$A$31</formula>
    </cfRule>
  </conditionalFormatting>
  <conditionalFormatting sqref="DF16">
    <cfRule type="cellIs" dxfId="489" priority="2038" stopIfTrue="1" operator="equal">
      <formula>$A$30</formula>
    </cfRule>
  </conditionalFormatting>
  <conditionalFormatting sqref="DF16:DF17">
    <cfRule type="cellIs" dxfId="488" priority="1871" stopIfTrue="1" operator="equal">
      <formula>$A$30</formula>
    </cfRule>
    <cfRule type="cellIs" dxfId="487" priority="2044" stopIfTrue="1" operator="equal">
      <formula>$A$30</formula>
    </cfRule>
  </conditionalFormatting>
  <conditionalFormatting sqref="DG16">
    <cfRule type="cellIs" dxfId="486" priority="754" stopIfTrue="1" operator="equal">
      <formula>$A$30</formula>
    </cfRule>
  </conditionalFormatting>
  <conditionalFormatting sqref="DM1:EA1">
    <cfRule type="cellIs" dxfId="485" priority="618" stopIfTrue="1" operator="equal">
      <formula>$A$31</formula>
    </cfRule>
  </conditionalFormatting>
  <conditionalFormatting sqref="DM15:EK17">
    <cfRule type="cellIs" dxfId="484" priority="607" stopIfTrue="1" operator="equal">
      <formula>$A$31</formula>
    </cfRule>
  </conditionalFormatting>
  <conditionalFormatting sqref="EL15:EN17">
    <cfRule type="cellIs" dxfId="483" priority="494" stopIfTrue="1" operator="equal">
      <formula>$A$31</formula>
    </cfRule>
  </conditionalFormatting>
  <conditionalFormatting sqref="EP11:EQ11">
    <cfRule type="cellIs" dxfId="482" priority="331" stopIfTrue="1" operator="equal">
      <formula>$A$30</formula>
    </cfRule>
  </conditionalFormatting>
  <conditionalFormatting sqref="EP15:EQ16">
    <cfRule type="cellIs" dxfId="481" priority="320" stopIfTrue="1" operator="equal">
      <formula>$A$30</formula>
    </cfRule>
  </conditionalFormatting>
  <conditionalFormatting sqref="EP15:EQ17">
    <cfRule type="cellIs" dxfId="480" priority="329" stopIfTrue="1" operator="equal">
      <formula>$A$31</formula>
    </cfRule>
  </conditionalFormatting>
  <conditionalFormatting sqref="ER14:ES14">
    <cfRule type="cellIs" dxfId="479" priority="174" stopIfTrue="1" operator="equal">
      <formula>$A$31</formula>
    </cfRule>
  </conditionalFormatting>
  <conditionalFormatting sqref="ES11">
    <cfRule type="cellIs" dxfId="478" priority="168" stopIfTrue="1" operator="equal">
      <formula>$A$30</formula>
    </cfRule>
  </conditionalFormatting>
  <conditionalFormatting sqref="ES13">
    <cfRule type="cellIs" dxfId="477" priority="114" stopIfTrue="1" operator="equal">
      <formula>$A$31</formula>
    </cfRule>
  </conditionalFormatting>
  <conditionalFormatting sqref="ES15:ES16">
    <cfRule type="cellIs" dxfId="476" priority="157" stopIfTrue="1" operator="equal">
      <formula>$A$30</formula>
    </cfRule>
  </conditionalFormatting>
  <conditionalFormatting sqref="ES15:ES17">
    <cfRule type="cellIs" dxfId="475" priority="159" stopIfTrue="1" operator="equal">
      <formula>$A$31</formula>
    </cfRule>
  </conditionalFormatting>
  <conditionalFormatting sqref="ES16">
    <cfRule type="cellIs" dxfId="474" priority="160" stopIfTrue="1" operator="equal">
      <formula>$A$30</formula>
    </cfRule>
  </conditionalFormatting>
  <conditionalFormatting sqref="ES18">
    <cfRule type="cellIs" dxfId="473" priority="113" stopIfTrue="1" operator="equal">
      <formula>$A$31</formula>
    </cfRule>
  </conditionalFormatting>
  <conditionalFormatting sqref="ET13:EY14">
    <cfRule type="cellIs" dxfId="472" priority="31" stopIfTrue="1" operator="equal">
      <formula>$A$31</formula>
    </cfRule>
  </conditionalFormatting>
  <conditionalFormatting sqref="EU18:EY18">
    <cfRule type="cellIs" dxfId="471" priority="33" stopIfTrue="1" operator="equal">
      <formula>$A$31</formula>
    </cfRule>
  </conditionalFormatting>
  <conditionalFormatting sqref="EV11:EW11">
    <cfRule type="cellIs" dxfId="470" priority="63" stopIfTrue="1" operator="equal">
      <formula>$A$30</formula>
    </cfRule>
  </conditionalFormatting>
  <conditionalFormatting sqref="EX15:EY17">
    <cfRule type="cellIs" dxfId="469" priority="15" stopIfTrue="1" operator="equal">
      <formula>$A$31</formula>
    </cfRule>
  </conditionalFormatting>
  <conditionalFormatting sqref="EZ8">
    <cfRule type="cellIs" dxfId="468" priority="14" stopIfTrue="1" operator="equal">
      <formula>$A$31</formula>
    </cfRule>
  </conditionalFormatting>
  <conditionalFormatting sqref="EZ14">
    <cfRule type="cellIs" dxfId="467" priority="12" stopIfTrue="1" operator="equal">
      <formula>$A$31</formula>
    </cfRule>
  </conditionalFormatting>
  <conditionalFormatting sqref="EZ13">
    <cfRule type="cellIs" dxfId="466" priority="13" stopIfTrue="1" operator="equal">
      <formula>$A$31</formula>
    </cfRule>
  </conditionalFormatting>
  <conditionalFormatting sqref="EZ18">
    <cfRule type="cellIs" dxfId="465" priority="10" stopIfTrue="1" operator="equal">
      <formula>$A$31</formula>
    </cfRule>
  </conditionalFormatting>
  <conditionalFormatting sqref="EZ15:EZ17">
    <cfRule type="cellIs" dxfId="464" priority="1" stopIfTrue="1" operator="equal">
      <formula>$A$31</formula>
    </cfRule>
  </conditionalFormatting>
  <conditionalFormatting sqref="I10:R10">
    <cfRule type="cellIs" dxfId="463" priority="3348" stopIfTrue="1" operator="equal">
      <formula>$B$30</formula>
    </cfRule>
  </conditionalFormatting>
  <conditionalFormatting sqref="AW9:AW12">
    <cfRule type="cellIs" dxfId="462" priority="3559" stopIfTrue="1" operator="equal">
      <formula>$A$31</formula>
    </cfRule>
    <cfRule type="cellIs" dxfId="461" priority="3560" stopIfTrue="1" operator="equal">
      <formula>$A$31</formula>
    </cfRule>
    <cfRule type="cellIs" dxfId="460" priority="3561" stopIfTrue="1" operator="equal">
      <formula>$A$31</formula>
    </cfRule>
    <cfRule type="cellIs" dxfId="459" priority="3562" stopIfTrue="1" operator="equal">
      <formula>$A$31</formula>
    </cfRule>
    <cfRule type="cellIs" dxfId="458" priority="3563" stopIfTrue="1" operator="equal">
      <formula>$A$31</formula>
    </cfRule>
    <cfRule type="cellIs" dxfId="457" priority="3564" stopIfTrue="1" operator="equal">
      <formula>$A$31</formula>
    </cfRule>
    <cfRule type="cellIs" dxfId="456" priority="3565" stopIfTrue="1" operator="equal">
      <formula>$A$31</formula>
    </cfRule>
    <cfRule type="cellIs" dxfId="455" priority="3566" stopIfTrue="1" operator="equal">
      <formula>$A$31</formula>
    </cfRule>
    <cfRule type="cellIs" dxfId="454" priority="3567" stopIfTrue="1" operator="equal">
      <formula>$A$31</formula>
    </cfRule>
    <cfRule type="cellIs" dxfId="453" priority="3568" stopIfTrue="1" operator="equal">
      <formula>$A$31</formula>
    </cfRule>
    <cfRule type="cellIs" dxfId="452" priority="3569" stopIfTrue="1" operator="equal">
      <formula>$A$31</formula>
    </cfRule>
    <cfRule type="cellIs" dxfId="451" priority="3570" stopIfTrue="1" operator="equal">
      <formula>$A$31</formula>
    </cfRule>
    <cfRule type="cellIs" dxfId="450" priority="3571" stopIfTrue="1" operator="equal">
      <formula>$A$31</formula>
    </cfRule>
    <cfRule type="cellIs" dxfId="449"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Z27"/>
  <sheetViews>
    <sheetView zoomScale="80" zoomScaleNormal="80" workbookViewId="0">
      <pane xSplit="1" topLeftCell="B1" activePane="topRight" state="frozen"/>
      <selection pane="topRight" activeCell="G29" sqref="G29"/>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6" ht="13.5" thickBot="1">
      <c r="A1" s="8">
        <v>4</v>
      </c>
      <c r="DF1" s="30" t="s">
        <v>408</v>
      </c>
    </row>
    <row r="2" spans="1:156">
      <c r="A2">
        <f>Criterios!C8</f>
        <v>0</v>
      </c>
      <c r="B2">
        <f>Criterios!B8</f>
        <v>0</v>
      </c>
    </row>
    <row r="3" spans="1:156" ht="13.5" thickBot="1">
      <c r="A3" t="str">
        <f>Criterios!A9</f>
        <v>Tribunales de Justicia</v>
      </c>
      <c r="B3" t="str">
        <f>Criterios!B9</f>
        <v>ANDALUCIA</v>
      </c>
    </row>
    <row r="4" spans="1:156" ht="13.5" thickBot="1">
      <c r="A4" t="str">
        <f>Criterios!A10</f>
        <v>Provincias</v>
      </c>
      <c r="B4" t="str">
        <f>Criterios!B10</f>
        <v>HUELVA</v>
      </c>
      <c r="CE4" s="1441" t="s">
        <v>273</v>
      </c>
      <c r="CF4" s="1442"/>
      <c r="CG4" s="1442"/>
      <c r="CH4" s="1443"/>
    </row>
    <row r="5" spans="1:156" ht="12.75" customHeight="1" thickBot="1">
      <c r="A5" s="1411" t="str">
        <f>"Año:  " &amp;Criterios!B5 &amp; "                  Trimestre   " &amp;Criterios!D5 &amp; " al " &amp;Criterios!D6</f>
        <v>Año:  2024                  Trimestre   3 al 3</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387</v>
      </c>
      <c r="BN5" s="1303"/>
      <c r="BO5" s="1304"/>
      <c r="BP5" s="1303"/>
      <c r="BQ5" s="1304"/>
      <c r="BR5" s="1303"/>
      <c r="BS5" s="1304"/>
      <c r="BT5" s="1303"/>
      <c r="BU5" s="1304"/>
      <c r="BV5" s="1452" t="s">
        <v>272</v>
      </c>
      <c r="BW5" s="1486" t="s">
        <v>252</v>
      </c>
      <c r="BX5" s="1486"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456</v>
      </c>
      <c r="CL5" s="1369" t="s">
        <v>457</v>
      </c>
      <c r="CM5" s="1369" t="s">
        <v>458</v>
      </c>
      <c r="CN5" s="1385" t="s">
        <v>370</v>
      </c>
      <c r="CO5" s="1385" t="s">
        <v>363</v>
      </c>
      <c r="CP5" s="1385" t="s">
        <v>369</v>
      </c>
      <c r="CQ5" s="1388" t="s">
        <v>368</v>
      </c>
      <c r="CR5" s="1388" t="s">
        <v>42</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479</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620</v>
      </c>
      <c r="ED5" s="1465" t="s">
        <v>590</v>
      </c>
      <c r="EE5" s="1465" t="s">
        <v>623</v>
      </c>
      <c r="EF5" s="1465" t="s">
        <v>624</v>
      </c>
      <c r="EG5" s="1468" t="s">
        <v>625</v>
      </c>
      <c r="EH5" s="1468" t="s">
        <v>626</v>
      </c>
      <c r="EI5" s="1468" t="s">
        <v>592</v>
      </c>
      <c r="EJ5" s="1468" t="s">
        <v>593</v>
      </c>
      <c r="EK5" s="1489" t="s">
        <v>670</v>
      </c>
      <c r="EL5" s="1480" t="s">
        <v>686</v>
      </c>
      <c r="EM5" s="1481"/>
      <c r="EN5" s="1482"/>
      <c r="EO5" s="1381" t="s">
        <v>743</v>
      </c>
      <c r="EP5" s="1381" t="s">
        <v>745</v>
      </c>
      <c r="EQ5" s="1381" t="s">
        <v>746</v>
      </c>
      <c r="ER5" s="1381" t="s">
        <v>751</v>
      </c>
      <c r="ES5" s="1381" t="s">
        <v>756</v>
      </c>
      <c r="ET5" s="1474" t="s">
        <v>820</v>
      </c>
      <c r="EU5" s="1474" t="s">
        <v>821</v>
      </c>
      <c r="EV5" s="1384" t="s">
        <v>837</v>
      </c>
      <c r="EW5" s="1468" t="s">
        <v>840</v>
      </c>
      <c r="EX5" s="1375" t="s">
        <v>854</v>
      </c>
      <c r="EY5" s="1363" t="s">
        <v>859</v>
      </c>
      <c r="EZ5" s="1360" t="s">
        <v>907</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87"/>
      <c r="BX6" s="1487"/>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90"/>
      <c r="EL6" s="1483"/>
      <c r="EM6" s="1484"/>
      <c r="EN6" s="1485"/>
      <c r="EO6" s="1382"/>
      <c r="EP6" s="1382"/>
      <c r="EQ6" s="1382"/>
      <c r="ER6" s="1382"/>
      <c r="ES6" s="1382"/>
      <c r="ET6" s="1475"/>
      <c r="EU6" s="1475"/>
      <c r="EV6" s="1373"/>
      <c r="EW6" s="1469"/>
      <c r="EX6" s="1376"/>
      <c r="EY6" s="1364"/>
      <c r="EZ6" s="1361"/>
    </row>
    <row r="7" spans="1:156" ht="87" customHeight="1" thickBot="1">
      <c r="A7" s="69" t="s">
        <v>742</v>
      </c>
      <c r="B7" s="1415"/>
      <c r="C7" s="1418"/>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88"/>
      <c r="BX7" s="1488"/>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91"/>
      <c r="EL7" s="639" t="s">
        <v>687</v>
      </c>
      <c r="EM7" s="639" t="s">
        <v>95</v>
      </c>
      <c r="EN7" s="639" t="s">
        <v>96</v>
      </c>
      <c r="EO7" s="1383"/>
      <c r="EP7" s="1383"/>
      <c r="EQ7" s="1383"/>
      <c r="ER7" s="1383"/>
      <c r="ES7" s="1383"/>
      <c r="ET7" s="1476"/>
      <c r="EU7" s="1476"/>
      <c r="EV7" s="1374"/>
      <c r="EW7" s="1470"/>
      <c r="EX7" s="1377"/>
      <c r="EY7" s="1365"/>
      <c r="EZ7" s="1362"/>
    </row>
    <row r="8" spans="1:156"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0"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470" t="s">
        <v>688</v>
      </c>
      <c r="EM8" s="470" t="s">
        <v>689</v>
      </c>
      <c r="EN8" s="470" t="s">
        <v>690</v>
      </c>
      <c r="EO8" s="50" t="s">
        <v>744</v>
      </c>
      <c r="EP8" s="50" t="s">
        <v>749</v>
      </c>
      <c r="EQ8" s="50" t="s">
        <v>750</v>
      </c>
      <c r="ER8" s="470">
        <v>148</v>
      </c>
      <c r="ES8" s="470" t="s">
        <v>757</v>
      </c>
      <c r="ET8" s="1141" t="s">
        <v>822</v>
      </c>
      <c r="EU8" s="1141" t="s">
        <v>823</v>
      </c>
      <c r="EV8" s="1141" t="s">
        <v>831</v>
      </c>
      <c r="EW8" s="470" t="s">
        <v>839</v>
      </c>
      <c r="EX8" s="470" t="s">
        <v>853</v>
      </c>
      <c r="EY8" s="470" t="s">
        <v>858</v>
      </c>
      <c r="EZ8" s="470" t="s">
        <v>908</v>
      </c>
    </row>
    <row r="9" spans="1:156" ht="14.25" customHeight="1">
      <c r="A9" s="20" t="s">
        <v>45</v>
      </c>
      <c r="B9" s="21" t="s">
        <v>402</v>
      </c>
      <c r="C9" s="22" t="s">
        <v>3</v>
      </c>
      <c r="D9" s="23" t="s">
        <v>20</v>
      </c>
      <c r="E9" s="21" t="s">
        <v>21</v>
      </c>
      <c r="F9" s="21">
        <v>32</v>
      </c>
      <c r="G9" s="6"/>
      <c r="H9" s="136" t="s">
        <v>245</v>
      </c>
      <c r="I9" s="1179" t="s">
        <v>886</v>
      </c>
      <c r="J9" s="1178" t="s">
        <v>887</v>
      </c>
      <c r="K9" s="1178" t="s">
        <v>888</v>
      </c>
      <c r="L9" s="1178" t="s">
        <v>889</v>
      </c>
      <c r="M9" s="57" t="s">
        <v>857</v>
      </c>
      <c r="N9" s="57" t="s">
        <v>860</v>
      </c>
      <c r="O9" s="57" t="s">
        <v>323</v>
      </c>
      <c r="P9" s="57" t="s">
        <v>371</v>
      </c>
      <c r="Q9" s="57" t="s">
        <v>372</v>
      </c>
      <c r="R9" s="57" t="s">
        <v>373</v>
      </c>
      <c r="S9" s="57"/>
      <c r="T9" s="57"/>
      <c r="U9" s="57"/>
      <c r="V9" s="57"/>
      <c r="W9" s="57"/>
      <c r="X9" s="61"/>
      <c r="Y9" s="1182" t="s">
        <v>883</v>
      </c>
      <c r="Z9" s="1178" t="s">
        <v>882</v>
      </c>
      <c r="AA9" s="1178" t="s">
        <v>884</v>
      </c>
      <c r="AB9" s="1178" t="s">
        <v>885</v>
      </c>
      <c r="AC9" s="57"/>
      <c r="AD9" s="57"/>
      <c r="AE9" s="57"/>
      <c r="AF9" s="61"/>
      <c r="AG9" s="62"/>
      <c r="AH9" s="57"/>
      <c r="AI9" s="57"/>
      <c r="AJ9" s="63"/>
      <c r="AK9" s="58"/>
      <c r="AL9" s="57"/>
      <c r="AM9" s="57"/>
      <c r="AN9" s="61"/>
      <c r="AO9" s="64"/>
      <c r="AP9" s="64"/>
      <c r="AQ9" s="64"/>
      <c r="AR9" s="60"/>
      <c r="AS9" s="317" t="s">
        <v>866</v>
      </c>
      <c r="AT9" s="195"/>
      <c r="AU9" s="317" t="s">
        <v>809</v>
      </c>
      <c r="AV9" s="195"/>
      <c r="AW9" s="317" t="s">
        <v>812</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499</v>
      </c>
      <c r="BW9" s="156" t="s">
        <v>303</v>
      </c>
      <c r="BX9" s="156" t="s">
        <v>304</v>
      </c>
      <c r="BY9" s="156" t="s">
        <v>899</v>
      </c>
      <c r="BZ9" s="156" t="s">
        <v>481</v>
      </c>
      <c r="CA9" s="156" t="s">
        <v>412</v>
      </c>
      <c r="CB9" s="156" t="s">
        <v>413</v>
      </c>
      <c r="CC9" s="156" t="s">
        <v>414</v>
      </c>
      <c r="CD9" s="156" t="s">
        <v>415</v>
      </c>
      <c r="CE9" s="156"/>
      <c r="CF9" s="156"/>
      <c r="CG9" s="156"/>
      <c r="CH9" s="156"/>
      <c r="CI9" s="156" t="s">
        <v>506</v>
      </c>
      <c r="CJ9" s="156" t="s">
        <v>416</v>
      </c>
      <c r="CK9" s="156" t="s">
        <v>493</v>
      </c>
      <c r="CL9" s="156" t="s">
        <v>495</v>
      </c>
      <c r="CM9" s="156" t="s">
        <v>497</v>
      </c>
      <c r="CN9" s="156">
        <v>1088</v>
      </c>
      <c r="CO9" s="156">
        <v>720</v>
      </c>
      <c r="CP9" s="156">
        <v>1088</v>
      </c>
      <c r="CQ9" s="289" t="s">
        <v>900</v>
      </c>
      <c r="CR9" s="289" t="s">
        <v>482</v>
      </c>
      <c r="CS9" s="156"/>
      <c r="CT9" s="156"/>
      <c r="CU9" s="156"/>
      <c r="CV9" s="156" t="s">
        <v>504</v>
      </c>
      <c r="CW9" s="156" t="s">
        <v>411</v>
      </c>
      <c r="CX9" s="156" t="s">
        <v>343</v>
      </c>
      <c r="CY9" s="156" t="s">
        <v>439</v>
      </c>
      <c r="CZ9" s="156" t="s">
        <v>440</v>
      </c>
      <c r="DA9" s="156" t="s">
        <v>441</v>
      </c>
      <c r="DB9" s="317" t="s">
        <v>867</v>
      </c>
      <c r="DC9" s="317" t="s">
        <v>868</v>
      </c>
      <c r="DD9" s="156"/>
      <c r="DE9" s="156" t="s">
        <v>241</v>
      </c>
      <c r="DF9" s="156"/>
      <c r="DG9" s="156" t="s">
        <v>445</v>
      </c>
      <c r="DH9" s="156" t="s">
        <v>501</v>
      </c>
      <c r="DI9" s="156" t="s">
        <v>502</v>
      </c>
      <c r="DJ9" s="156" t="s">
        <v>503</v>
      </c>
      <c r="DK9" s="156"/>
      <c r="DL9" s="156"/>
      <c r="DM9" s="156"/>
      <c r="DN9" s="156"/>
      <c r="DO9" s="156"/>
      <c r="DP9" s="156"/>
      <c r="DQ9" s="156"/>
      <c r="DR9" s="156"/>
      <c r="DS9" s="156"/>
      <c r="DT9" s="156"/>
      <c r="DU9" s="156" t="s">
        <v>677</v>
      </c>
      <c r="DV9" s="156" t="s">
        <v>672</v>
      </c>
      <c r="DW9" s="156" t="s">
        <v>673</v>
      </c>
      <c r="DX9" s="156" t="s">
        <v>674</v>
      </c>
      <c r="DY9" s="156" t="s">
        <v>675</v>
      </c>
      <c r="DZ9" s="156"/>
      <c r="EA9" s="156"/>
      <c r="EB9" s="156"/>
      <c r="EC9" s="156"/>
      <c r="ED9" s="156"/>
      <c r="EE9" s="156"/>
      <c r="EF9" s="156"/>
      <c r="EG9" s="156"/>
      <c r="EH9" s="156"/>
      <c r="EI9" s="156"/>
      <c r="EJ9" s="156"/>
      <c r="EK9" s="156"/>
      <c r="EL9" s="289" t="s">
        <v>796</v>
      </c>
      <c r="EM9" s="289" t="s">
        <v>797</v>
      </c>
      <c r="EN9" s="156" t="s">
        <v>795</v>
      </c>
      <c r="EO9" s="989" t="s">
        <v>869</v>
      </c>
      <c r="EP9" s="989" t="s">
        <v>874</v>
      </c>
      <c r="EQ9" s="989" t="s">
        <v>876</v>
      </c>
      <c r="ER9" s="1000">
        <v>1200</v>
      </c>
      <c r="ES9" s="997"/>
      <c r="ET9" s="1142"/>
      <c r="EU9" s="1142"/>
      <c r="EV9" s="156" t="s">
        <v>834</v>
      </c>
      <c r="EW9" s="156"/>
      <c r="EX9" s="156"/>
      <c r="EY9" s="156"/>
      <c r="EZ9" s="156"/>
    </row>
    <row r="10" spans="1:156" ht="14.25" customHeight="1">
      <c r="A10" s="137" t="s">
        <v>143</v>
      </c>
      <c r="B10" s="21" t="s">
        <v>402</v>
      </c>
      <c r="C10" s="22" t="s">
        <v>3</v>
      </c>
      <c r="D10" s="23" t="s">
        <v>82</v>
      </c>
      <c r="E10" s="21" t="s">
        <v>82</v>
      </c>
      <c r="F10" s="21" t="s">
        <v>138</v>
      </c>
      <c r="G10" s="6"/>
      <c r="H10" s="136"/>
      <c r="I10" s="1180" t="s">
        <v>520</v>
      </c>
      <c r="J10" s="1181" t="s">
        <v>518</v>
      </c>
      <c r="K10" s="1181" t="s">
        <v>519</v>
      </c>
      <c r="L10" s="1181" t="s">
        <v>524</v>
      </c>
      <c r="M10" s="57" t="s">
        <v>513</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758</v>
      </c>
      <c r="AT10" s="63"/>
      <c r="AU10" s="148" t="s">
        <v>759</v>
      </c>
      <c r="AV10" s="63"/>
      <c r="AW10" s="148" t="s">
        <v>760</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761</v>
      </c>
      <c r="BZ10" s="154"/>
      <c r="CA10" s="154"/>
      <c r="CB10" s="154"/>
      <c r="CC10" s="154"/>
      <c r="CD10" s="154"/>
      <c r="CE10" s="154"/>
      <c r="CF10" s="154"/>
      <c r="CG10" s="154"/>
      <c r="CH10" s="154"/>
      <c r="CI10" s="154" t="s">
        <v>508</v>
      </c>
      <c r="CJ10" s="154" t="s">
        <v>300</v>
      </c>
      <c r="CK10" s="154" t="s">
        <v>459</v>
      </c>
      <c r="CL10" s="154" t="s">
        <v>460</v>
      </c>
      <c r="CM10" s="154" t="s">
        <v>461</v>
      </c>
      <c r="CN10" s="154">
        <v>1175</v>
      </c>
      <c r="CO10" s="154">
        <v>0</v>
      </c>
      <c r="CP10" s="289" t="s">
        <v>418</v>
      </c>
      <c r="CQ10" s="154" t="s">
        <v>762</v>
      </c>
      <c r="CR10" s="154"/>
      <c r="CS10" s="154"/>
      <c r="CT10" s="156"/>
      <c r="CU10" s="156"/>
      <c r="CV10" s="156" t="s">
        <v>315</v>
      </c>
      <c r="CW10" s="156" t="s">
        <v>339</v>
      </c>
      <c r="CX10" s="156" t="s">
        <v>342</v>
      </c>
      <c r="CY10" s="156" t="s">
        <v>509</v>
      </c>
      <c r="CZ10" s="156" t="s">
        <v>510</v>
      </c>
      <c r="DA10" s="156" t="s">
        <v>511</v>
      </c>
      <c r="DB10" s="320" t="s">
        <v>521</v>
      </c>
      <c r="DC10" s="319"/>
      <c r="DD10" s="156"/>
      <c r="DE10" s="156" t="s">
        <v>242</v>
      </c>
      <c r="DF10" s="156"/>
      <c r="DG10" s="156" t="s">
        <v>512</v>
      </c>
      <c r="DH10" s="154" t="s">
        <v>432</v>
      </c>
      <c r="DI10" s="154" t="s">
        <v>430</v>
      </c>
      <c r="DJ10" s="154" t="s">
        <v>431</v>
      </c>
      <c r="DK10" s="154"/>
      <c r="DL10" s="154"/>
      <c r="DM10" s="289"/>
      <c r="DN10" s="289"/>
      <c r="DO10" s="289"/>
      <c r="DP10" s="289"/>
      <c r="DQ10" s="289"/>
      <c r="DR10" s="289"/>
      <c r="DS10" s="289"/>
      <c r="DT10" s="289"/>
      <c r="DU10" s="155" t="s">
        <v>610</v>
      </c>
      <c r="DV10" s="289" t="s">
        <v>724</v>
      </c>
      <c r="DW10" s="289" t="s">
        <v>721</v>
      </c>
      <c r="DX10" s="289" t="s">
        <v>722</v>
      </c>
      <c r="DY10" s="289" t="s">
        <v>723</v>
      </c>
      <c r="DZ10" s="289"/>
      <c r="EA10" s="289"/>
      <c r="EB10" s="289"/>
      <c r="EC10" s="289"/>
      <c r="ED10" s="289"/>
      <c r="EE10" s="289"/>
      <c r="EF10" s="289"/>
      <c r="EG10" s="289"/>
      <c r="EH10" s="289"/>
      <c r="EI10" s="289"/>
      <c r="EJ10" s="289"/>
      <c r="EK10" s="289"/>
      <c r="EL10" s="289"/>
      <c r="EM10" s="289"/>
      <c r="EN10" s="289"/>
      <c r="EO10" s="320" t="s">
        <v>767</v>
      </c>
      <c r="EP10" s="320" t="s">
        <v>768</v>
      </c>
      <c r="EQ10" s="320" t="s">
        <v>769</v>
      </c>
      <c r="ER10" s="1001">
        <v>1600</v>
      </c>
      <c r="ES10" s="339"/>
      <c r="ET10" s="1142"/>
      <c r="EU10" s="1142"/>
      <c r="EV10" s="156" t="s">
        <v>836</v>
      </c>
      <c r="EW10" s="289"/>
      <c r="EX10" s="289"/>
      <c r="EY10" s="289"/>
      <c r="EZ10" s="289"/>
    </row>
    <row r="11" spans="1:156" ht="14.25" customHeight="1" thickBot="1">
      <c r="A11" s="20" t="s">
        <v>403</v>
      </c>
      <c r="B11" s="21" t="s">
        <v>402</v>
      </c>
      <c r="C11" s="22" t="s">
        <v>3</v>
      </c>
      <c r="D11" s="23" t="s">
        <v>20</v>
      </c>
      <c r="E11" s="21" t="s">
        <v>51</v>
      </c>
      <c r="F11" s="21">
        <v>32</v>
      </c>
      <c r="G11" s="6"/>
      <c r="H11" s="28" t="s">
        <v>36</v>
      </c>
      <c r="I11" s="1176" t="s">
        <v>890</v>
      </c>
      <c r="J11" s="1177" t="s">
        <v>891</v>
      </c>
      <c r="K11" s="1177" t="s">
        <v>892</v>
      </c>
      <c r="L11" s="1177" t="s">
        <v>893</v>
      </c>
      <c r="M11" s="26" t="s">
        <v>490</v>
      </c>
      <c r="N11" s="26" t="s">
        <v>38</v>
      </c>
      <c r="O11" s="57" t="s">
        <v>224</v>
      </c>
      <c r="P11" s="26" t="s">
        <v>39</v>
      </c>
      <c r="Q11" s="26" t="s">
        <v>40</v>
      </c>
      <c r="R11" s="26" t="s">
        <v>91</v>
      </c>
      <c r="S11" s="26"/>
      <c r="T11" s="26"/>
      <c r="U11" s="26"/>
      <c r="V11" s="26"/>
      <c r="W11" s="26"/>
      <c r="X11" s="52"/>
      <c r="Y11" s="1182" t="s">
        <v>883</v>
      </c>
      <c r="Z11" s="1178" t="s">
        <v>898</v>
      </c>
      <c r="AA11" s="1178" t="s">
        <v>884</v>
      </c>
      <c r="AB11" s="1178" t="s">
        <v>885</v>
      </c>
      <c r="AC11" s="26"/>
      <c r="AD11" s="26"/>
      <c r="AE11" s="26"/>
      <c r="AF11" s="52"/>
      <c r="AG11" s="49"/>
      <c r="AH11" s="26"/>
      <c r="AI11" s="26"/>
      <c r="AJ11" s="27"/>
      <c r="AK11" s="25"/>
      <c r="AL11" s="26"/>
      <c r="AM11" s="26"/>
      <c r="AN11" s="52"/>
      <c r="AO11" s="59"/>
      <c r="AP11" s="59"/>
      <c r="AQ11" s="59"/>
      <c r="AR11" s="64"/>
      <c r="AS11" s="49" t="s">
        <v>804</v>
      </c>
      <c r="AT11" s="27"/>
      <c r="AU11" s="49" t="s">
        <v>810</v>
      </c>
      <c r="AV11" s="27"/>
      <c r="AW11" s="49" t="s">
        <v>813</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498</v>
      </c>
      <c r="BW11" s="156" t="s">
        <v>254</v>
      </c>
      <c r="BX11" s="156" t="s">
        <v>255</v>
      </c>
      <c r="BY11" s="157" t="s">
        <v>873</v>
      </c>
      <c r="BZ11" s="156" t="s">
        <v>905</v>
      </c>
      <c r="CA11" s="156" t="s">
        <v>290</v>
      </c>
      <c r="CB11" s="156" t="s">
        <v>285</v>
      </c>
      <c r="CC11" s="156" t="s">
        <v>286</v>
      </c>
      <c r="CD11" s="156" t="s">
        <v>287</v>
      </c>
      <c r="CE11" s="157"/>
      <c r="CF11" s="157"/>
      <c r="CG11" s="157"/>
      <c r="CH11" s="157"/>
      <c r="CI11" s="157" t="s">
        <v>483</v>
      </c>
      <c r="CJ11" s="157" t="s">
        <v>298</v>
      </c>
      <c r="CK11" s="156" t="s">
        <v>492</v>
      </c>
      <c r="CL11" s="156" t="s">
        <v>494</v>
      </c>
      <c r="CM11" s="156" t="s">
        <v>496</v>
      </c>
      <c r="CN11" s="156">
        <v>1088</v>
      </c>
      <c r="CO11" s="157">
        <v>1000</v>
      </c>
      <c r="CP11" s="156">
        <v>1088</v>
      </c>
      <c r="CQ11" s="156" t="s">
        <v>850</v>
      </c>
      <c r="CR11" s="156" t="s">
        <v>906</v>
      </c>
      <c r="CS11" s="157"/>
      <c r="CT11" s="156"/>
      <c r="CU11" s="156"/>
      <c r="CV11" s="156" t="s">
        <v>504</v>
      </c>
      <c r="CW11" s="156" t="s">
        <v>336</v>
      </c>
      <c r="CX11" s="156" t="s">
        <v>343</v>
      </c>
      <c r="CY11" s="156" t="s">
        <v>439</v>
      </c>
      <c r="CZ11" s="156" t="s">
        <v>440</v>
      </c>
      <c r="DA11" s="156" t="s">
        <v>441</v>
      </c>
      <c r="DB11" s="147" t="s">
        <v>861</v>
      </c>
      <c r="DC11" s="147" t="s">
        <v>862</v>
      </c>
      <c r="DD11" s="156"/>
      <c r="DE11" s="156" t="s">
        <v>243</v>
      </c>
      <c r="DF11" s="156"/>
      <c r="DG11" s="156" t="s">
        <v>445</v>
      </c>
      <c r="DH11" s="156" t="s">
        <v>501</v>
      </c>
      <c r="DI11" s="156" t="s">
        <v>502</v>
      </c>
      <c r="DJ11" s="156" t="s">
        <v>503</v>
      </c>
      <c r="DK11" s="156"/>
      <c r="DL11" s="156"/>
      <c r="DM11" s="289"/>
      <c r="DN11" s="289"/>
      <c r="DO11" s="289"/>
      <c r="DP11" s="289"/>
      <c r="DQ11" s="289"/>
      <c r="DR11" s="289"/>
      <c r="DS11" s="289"/>
      <c r="DT11" s="289"/>
      <c r="DU11" s="289" t="s">
        <v>677</v>
      </c>
      <c r="DV11" s="289" t="s">
        <v>672</v>
      </c>
      <c r="DW11" s="289" t="s">
        <v>673</v>
      </c>
      <c r="DX11" s="289" t="s">
        <v>674</v>
      </c>
      <c r="DY11" s="289" t="s">
        <v>675</v>
      </c>
      <c r="DZ11" s="289"/>
      <c r="EA11" s="289"/>
      <c r="EB11" s="289"/>
      <c r="EC11" s="289"/>
      <c r="ED11" s="289"/>
      <c r="EE11" s="289"/>
      <c r="EF11" s="289"/>
      <c r="EG11" s="289"/>
      <c r="EH11" s="289"/>
      <c r="EI11" s="289"/>
      <c r="EJ11" s="289"/>
      <c r="EK11" s="289"/>
      <c r="EL11" s="289"/>
      <c r="EM11" s="289"/>
      <c r="EN11" s="289"/>
      <c r="EO11" s="988" t="s">
        <v>870</v>
      </c>
      <c r="EP11" s="988" t="s">
        <v>851</v>
      </c>
      <c r="EQ11" s="988" t="s">
        <v>852</v>
      </c>
      <c r="ER11" s="1002">
        <v>1323</v>
      </c>
      <c r="ES11" s="998"/>
      <c r="ET11" s="1142"/>
      <c r="EU11" s="1142"/>
      <c r="EV11" s="156" t="s">
        <v>833</v>
      </c>
      <c r="EW11" s="289"/>
      <c r="EX11" s="289"/>
      <c r="EY11" s="289"/>
      <c r="EZ11" s="289"/>
    </row>
    <row r="12" spans="1:156" ht="14.25" customHeight="1">
      <c r="A12" s="20" t="s">
        <v>404</v>
      </c>
      <c r="B12" s="21" t="s">
        <v>402</v>
      </c>
      <c r="C12" s="22" t="s">
        <v>3</v>
      </c>
      <c r="D12" s="23" t="s">
        <v>20</v>
      </c>
      <c r="E12" s="21" t="s">
        <v>20</v>
      </c>
      <c r="F12" s="21">
        <v>31</v>
      </c>
      <c r="G12" s="6"/>
      <c r="H12" s="29"/>
      <c r="I12" s="1176" t="s">
        <v>894</v>
      </c>
      <c r="J12" s="1177" t="s">
        <v>895</v>
      </c>
      <c r="K12" s="1177" t="s">
        <v>896</v>
      </c>
      <c r="L12" s="1177" t="s">
        <v>897</v>
      </c>
      <c r="M12" s="26" t="s">
        <v>856</v>
      </c>
      <c r="N12" s="26" t="s">
        <v>38</v>
      </c>
      <c r="O12" s="57" t="s">
        <v>224</v>
      </c>
      <c r="P12" s="26" t="s">
        <v>381</v>
      </c>
      <c r="Q12" s="26" t="s">
        <v>382</v>
      </c>
      <c r="R12" s="26" t="s">
        <v>383</v>
      </c>
      <c r="S12" s="26"/>
      <c r="T12" s="26"/>
      <c r="U12" s="26"/>
      <c r="V12" s="26"/>
      <c r="W12" s="26"/>
      <c r="X12" s="52"/>
      <c r="Y12" s="1182" t="s">
        <v>883</v>
      </c>
      <c r="Z12" s="1178" t="s">
        <v>882</v>
      </c>
      <c r="AA12" s="1178" t="s">
        <v>884</v>
      </c>
      <c r="AB12" s="1178" t="s">
        <v>885</v>
      </c>
      <c r="AC12" s="26"/>
      <c r="AD12" s="26"/>
      <c r="AE12" s="26"/>
      <c r="AF12" s="52"/>
      <c r="AG12" s="49"/>
      <c r="AH12" s="26"/>
      <c r="AI12" s="26"/>
      <c r="AJ12" s="27"/>
      <c r="AK12" s="25"/>
      <c r="AL12" s="26"/>
      <c r="AM12" s="26"/>
      <c r="AN12" s="52"/>
      <c r="AO12" s="59"/>
      <c r="AP12" s="59"/>
      <c r="AQ12" s="59"/>
      <c r="AR12" s="64"/>
      <c r="AS12" s="49" t="s">
        <v>863</v>
      </c>
      <c r="AT12" s="27"/>
      <c r="AU12" s="49" t="s">
        <v>807</v>
      </c>
      <c r="AV12" s="27"/>
      <c r="AW12" s="49" t="s">
        <v>814</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500</v>
      </c>
      <c r="BW12" s="156" t="s">
        <v>384</v>
      </c>
      <c r="BX12" s="156" t="s">
        <v>385</v>
      </c>
      <c r="BY12" s="157" t="s">
        <v>901</v>
      </c>
      <c r="BZ12" s="156"/>
      <c r="CA12" s="156" t="s">
        <v>290</v>
      </c>
      <c r="CB12" s="156" t="s">
        <v>285</v>
      </c>
      <c r="CC12" s="156" t="s">
        <v>286</v>
      </c>
      <c r="CD12" s="156" t="s">
        <v>287</v>
      </c>
      <c r="CE12" s="157"/>
      <c r="CF12" s="157"/>
      <c r="CG12" s="157"/>
      <c r="CH12" s="157"/>
      <c r="CI12" s="157" t="s">
        <v>483</v>
      </c>
      <c r="CJ12" s="157" t="s">
        <v>298</v>
      </c>
      <c r="CK12" s="156" t="s">
        <v>493</v>
      </c>
      <c r="CL12" s="156" t="s">
        <v>495</v>
      </c>
      <c r="CM12" s="156" t="s">
        <v>497</v>
      </c>
      <c r="CN12" s="289" t="s">
        <v>332</v>
      </c>
      <c r="CO12" s="157">
        <v>2880</v>
      </c>
      <c r="CP12" s="289" t="s">
        <v>307</v>
      </c>
      <c r="CQ12" s="289" t="s">
        <v>902</v>
      </c>
      <c r="CR12" s="289"/>
      <c r="CS12" s="157"/>
      <c r="CT12" s="156"/>
      <c r="CU12" s="156"/>
      <c r="CV12" s="156" t="s">
        <v>504</v>
      </c>
      <c r="CW12" s="156" t="s">
        <v>336</v>
      </c>
      <c r="CX12" s="156" t="s">
        <v>343</v>
      </c>
      <c r="CY12" s="156" t="s">
        <v>439</v>
      </c>
      <c r="CZ12" s="156" t="s">
        <v>440</v>
      </c>
      <c r="DA12" s="156" t="s">
        <v>441</v>
      </c>
      <c r="DB12" s="317" t="s">
        <v>864</v>
      </c>
      <c r="DC12" s="317" t="s">
        <v>865</v>
      </c>
      <c r="DD12" s="156"/>
      <c r="DE12" s="156" t="s">
        <v>244</v>
      </c>
      <c r="DF12" s="156"/>
      <c r="DG12" s="156" t="s">
        <v>445</v>
      </c>
      <c r="DH12" s="156" t="s">
        <v>501</v>
      </c>
      <c r="DI12" s="156" t="s">
        <v>502</v>
      </c>
      <c r="DJ12" s="156" t="s">
        <v>503</v>
      </c>
      <c r="DK12" s="156"/>
      <c r="DL12" s="156"/>
      <c r="DM12" s="289"/>
      <c r="DN12" s="289"/>
      <c r="DO12" s="289"/>
      <c r="DP12" s="289"/>
      <c r="DQ12" s="289"/>
      <c r="DR12" s="289"/>
      <c r="DS12" s="289"/>
      <c r="DT12" s="289"/>
      <c r="DU12" s="289" t="s">
        <v>677</v>
      </c>
      <c r="DV12" s="289" t="s">
        <v>672</v>
      </c>
      <c r="DW12" s="289" t="s">
        <v>673</v>
      </c>
      <c r="DX12" s="289" t="s">
        <v>674</v>
      </c>
      <c r="DY12" s="289" t="s">
        <v>675</v>
      </c>
      <c r="DZ12" s="289"/>
      <c r="EA12" s="289"/>
      <c r="EB12" s="289"/>
      <c r="EC12" s="289"/>
      <c r="ED12" s="289"/>
      <c r="EE12" s="289"/>
      <c r="EF12" s="289"/>
      <c r="EG12" s="289"/>
      <c r="EH12" s="289"/>
      <c r="EI12" s="289"/>
      <c r="EJ12" s="289"/>
      <c r="EK12" s="289"/>
      <c r="EL12" s="289" t="s">
        <v>796</v>
      </c>
      <c r="EM12" s="289" t="s">
        <v>797</v>
      </c>
      <c r="EN12" s="156" t="s">
        <v>795</v>
      </c>
      <c r="EO12" s="989" t="s">
        <v>872</v>
      </c>
      <c r="EP12" s="989" t="s">
        <v>875</v>
      </c>
      <c r="EQ12" s="989" t="s">
        <v>877</v>
      </c>
      <c r="ER12" s="1000">
        <v>680</v>
      </c>
      <c r="ES12" s="999"/>
      <c r="ET12" s="1142"/>
      <c r="EU12" s="1142"/>
      <c r="EV12" s="156" t="s">
        <v>833</v>
      </c>
      <c r="EW12" s="289"/>
      <c r="EX12" s="289"/>
      <c r="EY12" s="289"/>
      <c r="EZ12" s="289"/>
    </row>
    <row r="13" spans="1:156"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c r="EZ13" s="151"/>
    </row>
    <row r="14" spans="1:156"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25" t="s">
        <v>516</v>
      </c>
      <c r="J15" s="26" t="s">
        <v>775</v>
      </c>
      <c r="K15" s="26" t="s">
        <v>783</v>
      </c>
      <c r="L15" s="26" t="s">
        <v>788</v>
      </c>
      <c r="M15" s="26" t="s">
        <v>515</v>
      </c>
      <c r="N15" s="26" t="s">
        <v>324</v>
      </c>
      <c r="O15" s="57" t="s">
        <v>325</v>
      </c>
      <c r="P15" s="26" t="s">
        <v>473</v>
      </c>
      <c r="Q15" s="26" t="s">
        <v>474</v>
      </c>
      <c r="R15" s="26" t="s">
        <v>475</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741</v>
      </c>
      <c r="AT15" s="27" t="s">
        <v>735</v>
      </c>
      <c r="AU15" s="49" t="s">
        <v>525</v>
      </c>
      <c r="AV15" s="27" t="s">
        <v>736</v>
      </c>
      <c r="AW15" s="49" t="s">
        <v>526</v>
      </c>
      <c r="AX15" s="27" t="s">
        <v>737</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763</v>
      </c>
      <c r="BZ15" s="214" t="s">
        <v>903</v>
      </c>
      <c r="CA15" s="155"/>
      <c r="CB15" s="155"/>
      <c r="CC15" s="155"/>
      <c r="CD15" s="155"/>
      <c r="CE15" s="155"/>
      <c r="CF15" s="155"/>
      <c r="CG15" s="155"/>
      <c r="CH15" s="155"/>
      <c r="CI15" s="155" t="s">
        <v>489</v>
      </c>
      <c r="CJ15" s="155" t="s">
        <v>397</v>
      </c>
      <c r="CK15" s="155" t="s">
        <v>462</v>
      </c>
      <c r="CL15" s="155" t="s">
        <v>463</v>
      </c>
      <c r="CM15" s="155" t="s">
        <v>464</v>
      </c>
      <c r="CN15" s="155">
        <v>1262</v>
      </c>
      <c r="CO15" s="155">
        <v>6600</v>
      </c>
      <c r="CP15" s="155">
        <v>1262</v>
      </c>
      <c r="CQ15" s="214" t="s">
        <v>517</v>
      </c>
      <c r="CR15" s="214" t="s">
        <v>904</v>
      </c>
      <c r="CS15" s="155" t="s">
        <v>389</v>
      </c>
      <c r="CT15" s="156"/>
      <c r="CU15" s="156"/>
      <c r="CV15" s="156" t="s">
        <v>374</v>
      </c>
      <c r="CW15" s="156" t="s">
        <v>337</v>
      </c>
      <c r="CX15" s="156" t="s">
        <v>159</v>
      </c>
      <c r="CY15" s="156"/>
      <c r="CZ15" s="156"/>
      <c r="DA15" s="156"/>
      <c r="DB15" s="147" t="s">
        <v>776</v>
      </c>
      <c r="DC15" s="147" t="s">
        <v>777</v>
      </c>
      <c r="DD15" s="156"/>
      <c r="DE15" s="156" t="s">
        <v>523</v>
      </c>
      <c r="DF15" s="156" t="s">
        <v>410</v>
      </c>
      <c r="DG15" s="156"/>
      <c r="DH15" s="155" t="s">
        <v>427</v>
      </c>
      <c r="DI15" s="155" t="s">
        <v>428</v>
      </c>
      <c r="DJ15" s="155" t="s">
        <v>429</v>
      </c>
      <c r="DK15" s="155"/>
      <c r="DL15" s="155"/>
      <c r="DM15" s="155"/>
      <c r="DN15" s="155"/>
      <c r="DO15" s="155"/>
      <c r="DP15" s="155"/>
      <c r="DQ15" s="155"/>
      <c r="DR15" s="155"/>
      <c r="DS15" s="155"/>
      <c r="DT15" s="155"/>
      <c r="DU15" s="155" t="s">
        <v>609</v>
      </c>
      <c r="DV15" s="155"/>
      <c r="DW15" s="155"/>
      <c r="DX15" s="155"/>
      <c r="DY15" s="155"/>
      <c r="DZ15" s="155"/>
      <c r="EA15" s="155"/>
      <c r="EB15" s="155" t="s">
        <v>740</v>
      </c>
      <c r="EC15" s="155" t="s">
        <v>617</v>
      </c>
      <c r="ED15" s="155"/>
      <c r="EE15" s="155">
        <v>6000</v>
      </c>
      <c r="EF15" s="155">
        <v>650</v>
      </c>
      <c r="EG15" s="155"/>
      <c r="EH15" s="155"/>
      <c r="EI15" s="155" t="s">
        <v>618</v>
      </c>
      <c r="EJ15" s="155"/>
      <c r="EK15" s="155"/>
      <c r="EL15" s="155"/>
      <c r="EM15" s="155"/>
      <c r="EN15" s="155"/>
      <c r="EO15" s="988" t="s">
        <v>805</v>
      </c>
      <c r="EP15" s="988" t="s">
        <v>808</v>
      </c>
      <c r="EQ15" s="988" t="s">
        <v>815</v>
      </c>
      <c r="ER15" s="1003" t="s">
        <v>766</v>
      </c>
      <c r="ES15" s="998"/>
      <c r="ET15" s="1142"/>
      <c r="EU15" s="1142"/>
      <c r="EV15" s="156" t="s">
        <v>832</v>
      </c>
      <c r="EW15" s="155"/>
      <c r="EX15" s="155"/>
      <c r="EY15" s="155"/>
      <c r="EZ15" s="155"/>
    </row>
    <row r="16" spans="1:156" ht="14.25" customHeight="1">
      <c r="A16" s="7" t="s">
        <v>404</v>
      </c>
      <c r="B16" s="21" t="s">
        <v>402</v>
      </c>
      <c r="C16" s="22" t="s">
        <v>3</v>
      </c>
      <c r="D16" s="23" t="s">
        <v>20</v>
      </c>
      <c r="E16" s="21" t="s">
        <v>20</v>
      </c>
      <c r="F16" s="21">
        <v>31</v>
      </c>
      <c r="G16" s="6"/>
      <c r="H16" s="24"/>
      <c r="I16" s="25" t="s">
        <v>516</v>
      </c>
      <c r="J16" s="26" t="s">
        <v>778</v>
      </c>
      <c r="K16" s="26" t="s">
        <v>784</v>
      </c>
      <c r="L16" s="26" t="s">
        <v>789</v>
      </c>
      <c r="M16" s="26" t="s">
        <v>515</v>
      </c>
      <c r="N16" s="26" t="s">
        <v>150</v>
      </c>
      <c r="O16" s="57" t="s">
        <v>225</v>
      </c>
      <c r="P16" s="26" t="s">
        <v>473</v>
      </c>
      <c r="Q16" s="26" t="s">
        <v>474</v>
      </c>
      <c r="R16" s="26" t="s">
        <v>475</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779</v>
      </c>
      <c r="AT16" s="27"/>
      <c r="AU16" s="49" t="s">
        <v>785</v>
      </c>
      <c r="AV16" s="27"/>
      <c r="AW16" s="49" t="s">
        <v>790</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528</v>
      </c>
      <c r="BZ16" s="157"/>
      <c r="CA16" s="157"/>
      <c r="CB16" s="157"/>
      <c r="CC16" s="157"/>
      <c r="CD16" s="157"/>
      <c r="CE16" s="157"/>
      <c r="CF16" s="157"/>
      <c r="CG16" s="157"/>
      <c r="CH16" s="157"/>
      <c r="CI16" s="157" t="s">
        <v>489</v>
      </c>
      <c r="CJ16" s="157" t="s">
        <v>397</v>
      </c>
      <c r="CK16" s="155" t="s">
        <v>462</v>
      </c>
      <c r="CL16" s="155" t="s">
        <v>463</v>
      </c>
      <c r="CM16" s="155" t="s">
        <v>464</v>
      </c>
      <c r="CN16" s="289" t="s">
        <v>332</v>
      </c>
      <c r="CO16" s="157">
        <v>2880</v>
      </c>
      <c r="CP16" s="214" t="s">
        <v>308</v>
      </c>
      <c r="CQ16" s="214" t="s">
        <v>517</v>
      </c>
      <c r="CR16" s="214"/>
      <c r="CS16" s="155" t="s">
        <v>389</v>
      </c>
      <c r="CT16" s="156"/>
      <c r="CU16" s="156"/>
      <c r="CV16" s="156" t="s">
        <v>374</v>
      </c>
      <c r="CW16" s="156" t="s">
        <v>337</v>
      </c>
      <c r="CX16" s="156" t="s">
        <v>159</v>
      </c>
      <c r="CY16" s="156"/>
      <c r="CZ16" s="156"/>
      <c r="DA16" s="156"/>
      <c r="DB16" s="147" t="s">
        <v>780</v>
      </c>
      <c r="DC16" s="147" t="s">
        <v>781</v>
      </c>
      <c r="DD16" s="156"/>
      <c r="DE16" s="156" t="s">
        <v>523</v>
      </c>
      <c r="DF16" s="156" t="s">
        <v>410</v>
      </c>
      <c r="DG16" s="156"/>
      <c r="DH16" s="155" t="s">
        <v>427</v>
      </c>
      <c r="DI16" s="155" t="s">
        <v>428</v>
      </c>
      <c r="DJ16" s="155" t="s">
        <v>429</v>
      </c>
      <c r="DK16" s="155"/>
      <c r="DL16" s="155"/>
      <c r="DM16" s="155"/>
      <c r="DN16" s="155"/>
      <c r="DO16" s="155"/>
      <c r="DP16" s="155"/>
      <c r="DQ16" s="155"/>
      <c r="DR16" s="155"/>
      <c r="DS16" s="155"/>
      <c r="DT16" s="155"/>
      <c r="DU16" s="155" t="s">
        <v>609</v>
      </c>
      <c r="DV16" s="155"/>
      <c r="DW16" s="155"/>
      <c r="DX16" s="155"/>
      <c r="DY16" s="155"/>
      <c r="DZ16" s="155"/>
      <c r="EA16" s="155"/>
      <c r="EB16" s="155"/>
      <c r="EC16" s="155"/>
      <c r="ED16" s="155"/>
      <c r="EE16" s="155"/>
      <c r="EF16" s="155"/>
      <c r="EG16" s="155"/>
      <c r="EH16" s="155"/>
      <c r="EI16" s="155" t="s">
        <v>618</v>
      </c>
      <c r="EJ16" s="155"/>
      <c r="EK16" s="155"/>
      <c r="EL16" s="155"/>
      <c r="EM16" s="155"/>
      <c r="EN16" s="155"/>
      <c r="EO16" s="988" t="s">
        <v>782</v>
      </c>
      <c r="EP16" s="988" t="s">
        <v>786</v>
      </c>
      <c r="EQ16" s="988" t="s">
        <v>791</v>
      </c>
      <c r="ER16" s="1002">
        <v>1000</v>
      </c>
      <c r="ES16" s="998"/>
      <c r="ET16" s="1142"/>
      <c r="EU16" s="1142"/>
      <c r="EV16" s="156" t="s">
        <v>832</v>
      </c>
      <c r="EW16" s="155"/>
      <c r="EX16" s="155"/>
      <c r="EY16" s="155"/>
      <c r="EZ16" s="155"/>
    </row>
    <row r="17" spans="1:156" ht="14.25" customHeight="1">
      <c r="A17" s="7" t="s">
        <v>143</v>
      </c>
      <c r="B17" s="21" t="s">
        <v>402</v>
      </c>
      <c r="C17" s="22" t="s">
        <v>3</v>
      </c>
      <c r="D17" s="23" t="s">
        <v>82</v>
      </c>
      <c r="E17" s="21" t="s">
        <v>82</v>
      </c>
      <c r="F17" s="21" t="s">
        <v>138</v>
      </c>
      <c r="G17" s="6"/>
      <c r="H17" s="24"/>
      <c r="I17" s="25" t="s">
        <v>144</v>
      </c>
      <c r="J17" s="26" t="s">
        <v>826</v>
      </c>
      <c r="K17" s="26" t="s">
        <v>146</v>
      </c>
      <c r="L17" s="26" t="s">
        <v>787</v>
      </c>
      <c r="M17" s="26" t="s">
        <v>514</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529</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729</v>
      </c>
      <c r="BZ17" s="174" t="s">
        <v>739</v>
      </c>
      <c r="CA17" s="154"/>
      <c r="CB17" s="154"/>
      <c r="CC17" s="154"/>
      <c r="CD17" s="154"/>
      <c r="CE17" s="154"/>
      <c r="CF17" s="154"/>
      <c r="CG17" s="154"/>
      <c r="CH17" s="154"/>
      <c r="CI17" s="154" t="s">
        <v>507</v>
      </c>
      <c r="CJ17" s="154" t="s">
        <v>299</v>
      </c>
      <c r="CK17" s="154" t="s">
        <v>465</v>
      </c>
      <c r="CL17" s="154" t="s">
        <v>466</v>
      </c>
      <c r="CM17" s="154" t="s">
        <v>466</v>
      </c>
      <c r="CN17" s="154">
        <v>1175</v>
      </c>
      <c r="CO17" s="154">
        <v>1800</v>
      </c>
      <c r="CP17" s="289" t="s">
        <v>417</v>
      </c>
      <c r="CQ17" s="154" t="s">
        <v>738</v>
      </c>
      <c r="CR17" s="154"/>
      <c r="CS17" s="154" t="s">
        <v>622</v>
      </c>
      <c r="CT17" s="156"/>
      <c r="CU17" s="156"/>
      <c r="CV17" s="156" t="s">
        <v>314</v>
      </c>
      <c r="CW17" s="156" t="s">
        <v>338</v>
      </c>
      <c r="CX17" s="156" t="s">
        <v>341</v>
      </c>
      <c r="CY17" s="156"/>
      <c r="CZ17" s="156"/>
      <c r="DA17" s="156"/>
      <c r="DB17" s="320" t="s">
        <v>774</v>
      </c>
      <c r="DC17" s="326"/>
      <c r="DD17" s="156"/>
      <c r="DE17" s="327" t="s">
        <v>522</v>
      </c>
      <c r="DF17" s="327" t="s">
        <v>145</v>
      </c>
      <c r="DG17" s="156"/>
      <c r="DH17" s="154" t="s">
        <v>435</v>
      </c>
      <c r="DI17" s="154" t="s">
        <v>433</v>
      </c>
      <c r="DJ17" s="154" t="s">
        <v>434</v>
      </c>
      <c r="DK17" s="154"/>
      <c r="DL17" s="154"/>
      <c r="DM17" s="155"/>
      <c r="DN17" s="155"/>
      <c r="DO17" s="155"/>
      <c r="DP17" s="155"/>
      <c r="DQ17" s="155"/>
      <c r="DR17" s="155"/>
      <c r="DS17" s="155"/>
      <c r="DT17" s="155"/>
      <c r="DU17" s="155" t="s">
        <v>610</v>
      </c>
      <c r="DV17" s="155"/>
      <c r="DW17" s="155"/>
      <c r="DX17" s="155"/>
      <c r="DY17" s="155"/>
      <c r="DZ17" s="155"/>
      <c r="EA17" s="155"/>
      <c r="EB17" s="155" t="s">
        <v>616</v>
      </c>
      <c r="EC17" s="155" t="s">
        <v>619</v>
      </c>
      <c r="ED17" s="155"/>
      <c r="EE17" s="155">
        <v>1200</v>
      </c>
      <c r="EF17" s="155">
        <v>600</v>
      </c>
      <c r="EG17" s="155"/>
      <c r="EH17" s="155"/>
      <c r="EI17" s="155" t="s">
        <v>621</v>
      </c>
      <c r="EJ17" s="155"/>
      <c r="EK17" s="155"/>
      <c r="EL17" s="155"/>
      <c r="EM17" s="155"/>
      <c r="EN17" s="155"/>
      <c r="EO17" s="320" t="s">
        <v>774</v>
      </c>
      <c r="EP17" s="320" t="s">
        <v>146</v>
      </c>
      <c r="EQ17" s="320" t="s">
        <v>787</v>
      </c>
      <c r="ER17" s="1001">
        <v>1600</v>
      </c>
      <c r="ES17" s="339"/>
      <c r="ET17" s="1142"/>
      <c r="EU17" s="1142"/>
      <c r="EV17" s="156" t="s">
        <v>835</v>
      </c>
      <c r="EW17" s="155"/>
      <c r="EX17" s="155"/>
      <c r="EY17" s="155"/>
      <c r="EZ17" s="155"/>
    </row>
    <row r="18" spans="1:156"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51u2Iep0b7aDyIMssCdxGq5L3fjMAtTgVxBcawGUfor8e3/bdNkXeDvIwCh6lGr56rN8V31lM7QqKVoeaLTrlg==" saltValue="Kw8Gwl/gjlebpPVaFtj/XA==" spinCount="100000" sheet="1" objects="1" scenarios="1"/>
  <mergeCells count="124">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BT6:BT7"/>
    <mergeCell ref="CE4:CH4"/>
    <mergeCell ref="CE5:CE7"/>
    <mergeCell ref="CH5:CH7"/>
    <mergeCell ref="CG5:CG7"/>
    <mergeCell ref="CF5:CF7"/>
    <mergeCell ref="BT5:BU5"/>
    <mergeCell ref="CB5:CB7"/>
    <mergeCell ref="BV5:BV7"/>
    <mergeCell ref="BX5:BX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EZ5:EZ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s>
  <phoneticPr fontId="0" type="noConversion"/>
  <conditionalFormatting sqref="I15:R17 CS11:DF11 BK16:CJ16 CO16 CS16:DE16 I9:R9 Y9:AB9 AP10 AR10 Y11:AB12 AO11:AR11 BK11:BU11 BY11:BZ11 CE11:CJ11 I11:R12 AP16:AR16 AO16:AO17 BH16:BI17 AP17 AR17 EO11:EQ11 EV16 BH10:BI11">
    <cfRule type="cellIs" dxfId="448" priority="645" stopIfTrue="1" operator="equal">
      <formula>$A$30</formula>
    </cfRule>
  </conditionalFormatting>
  <conditionalFormatting sqref="I13:BC14 I18:BC18 BH18:EQ18 I19:EQ19 EW19:EZ19">
    <cfRule type="cellIs" dxfId="447" priority="1879" stopIfTrue="1" operator="equal">
      <formula>$A$31</formula>
    </cfRule>
  </conditionalFormatting>
  <conditionalFormatting sqref="I8:EY8">
    <cfRule type="cellIs" dxfId="446" priority="36"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Z12">
    <cfRule type="cellIs" dxfId="445" priority="427" stopIfTrue="1" operator="equal">
      <formula>$A$31</formula>
    </cfRule>
  </conditionalFormatting>
  <conditionalFormatting sqref="AR9:AX9">
    <cfRule type="cellIs" dxfId="444" priority="712" stopIfTrue="1" operator="equal">
      <formula>$A$31</formula>
    </cfRule>
  </conditionalFormatting>
  <conditionalFormatting sqref="AS15:AX17 AS10:AX12">
    <cfRule type="cellIs" dxfId="443" priority="650" stopIfTrue="1" operator="equal">
      <formula>$A$29</formula>
    </cfRule>
  </conditionalFormatting>
  <conditionalFormatting sqref="BD14:BG14">
    <cfRule type="cellIs" dxfId="442" priority="2185" stopIfTrue="1" operator="equal">
      <formula>$A$31</formula>
    </cfRule>
  </conditionalFormatting>
  <conditionalFormatting sqref="BH9:BI9">
    <cfRule type="cellIs" dxfId="441" priority="741" stopIfTrue="1" operator="equal">
      <formula>$A$31</formula>
    </cfRule>
  </conditionalFormatting>
  <conditionalFormatting sqref="BH15:BI15">
    <cfRule type="cellIs" dxfId="440" priority="703" stopIfTrue="1" operator="equal">
      <formula>$A$31</formula>
    </cfRule>
  </conditionalFormatting>
  <conditionalFormatting sqref="BH13:EQ14">
    <cfRule type="cellIs" dxfId="439" priority="287" stopIfTrue="1" operator="equal">
      <formula>$A$31</formula>
    </cfRule>
  </conditionalFormatting>
  <conditionalFormatting sqref="BK12:CJ12">
    <cfRule type="cellIs" dxfId="438" priority="2184" stopIfTrue="1" operator="equal">
      <formula>$A$31</formula>
    </cfRule>
  </conditionalFormatting>
  <conditionalFormatting sqref="BV15">
    <cfRule type="cellIs" dxfId="437" priority="640" stopIfTrue="1" operator="equal">
      <formula>$A$30</formula>
    </cfRule>
  </conditionalFormatting>
  <conditionalFormatting sqref="BY17">
    <cfRule type="cellIs" dxfId="436" priority="636" stopIfTrue="1" operator="equal">
      <formula>$A$30</formula>
    </cfRule>
  </conditionalFormatting>
  <conditionalFormatting sqref="CO11">
    <cfRule type="cellIs" dxfId="435" priority="2186" stopIfTrue="1" operator="equal">
      <formula>$A$30</formula>
    </cfRule>
  </conditionalFormatting>
  <conditionalFormatting sqref="DB15">
    <cfRule type="cellIs" dxfId="434" priority="699" stopIfTrue="1" operator="equal">
      <formula>$A$30</formula>
    </cfRule>
  </conditionalFormatting>
  <conditionalFormatting sqref="DB16:DE16">
    <cfRule type="cellIs" dxfId="433" priority="700" stopIfTrue="1" operator="equal">
      <formula>$A$30</formula>
    </cfRule>
  </conditionalFormatting>
  <conditionalFormatting sqref="DC15:DC16">
    <cfRule type="cellIs" dxfId="432" priority="682" stopIfTrue="1" operator="equal">
      <formula>$A$30</formula>
    </cfRule>
  </conditionalFormatting>
  <conditionalFormatting sqref="DE17">
    <cfRule type="cellIs" dxfId="431" priority="698" stopIfTrue="1" operator="equal">
      <formula>$A$30</formula>
    </cfRule>
  </conditionalFormatting>
  <conditionalFormatting sqref="DF1">
    <cfRule type="cellIs" dxfId="430" priority="2001" stopIfTrue="1" operator="equal">
      <formula>$A$31</formula>
    </cfRule>
  </conditionalFormatting>
  <conditionalFormatting sqref="DF16:DF17">
    <cfRule type="cellIs" dxfId="429" priority="685" stopIfTrue="1" operator="equal">
      <formula>$A$30</formula>
    </cfRule>
  </conditionalFormatting>
  <conditionalFormatting sqref="DG11">
    <cfRule type="cellIs" dxfId="428" priority="710" stopIfTrue="1" operator="equal">
      <formula>$A$30</formula>
    </cfRule>
  </conditionalFormatting>
  <conditionalFormatting sqref="DG15:DG17">
    <cfRule type="cellIs" dxfId="427" priority="648" stopIfTrue="1" operator="equal">
      <formula>$A$31</formula>
    </cfRule>
  </conditionalFormatting>
  <conditionalFormatting sqref="DG16">
    <cfRule type="cellIs" dxfId="426" priority="649" stopIfTrue="1" operator="equal">
      <formula>$A$30</formula>
    </cfRule>
  </conditionalFormatting>
  <conditionalFormatting sqref="DM15:EA17">
    <cfRule type="cellIs" dxfId="425" priority="485" stopIfTrue="1" operator="equal">
      <formula>$A$31</formula>
    </cfRule>
  </conditionalFormatting>
  <conditionalFormatting sqref="EH15:EK17">
    <cfRule type="cellIs" dxfId="424" priority="539" stopIfTrue="1" operator="equal">
      <formula>$A$31</formula>
    </cfRule>
  </conditionalFormatting>
  <conditionalFormatting sqref="EL15:EN17">
    <cfRule type="cellIs" dxfId="423" priority="431" stopIfTrue="1" operator="equal">
      <formula>$A$31</formula>
    </cfRule>
  </conditionalFormatting>
  <conditionalFormatting sqref="EO15:EQ16">
    <cfRule type="cellIs" dxfId="422" priority="277" stopIfTrue="1" operator="equal">
      <formula>$A$30</formula>
    </cfRule>
  </conditionalFormatting>
  <conditionalFormatting sqref="EO15:EQ17">
    <cfRule type="cellIs" dxfId="421" priority="286" stopIfTrue="1" operator="equal">
      <formula>$A$31</formula>
    </cfRule>
  </conditionalFormatting>
  <conditionalFormatting sqref="EO16:EQ16">
    <cfRule type="cellIs" dxfId="420" priority="288" stopIfTrue="1" operator="equal">
      <formula>$A$30</formula>
    </cfRule>
  </conditionalFormatting>
  <conditionalFormatting sqref="ER14:EY14">
    <cfRule type="cellIs" dxfId="419" priority="31" stopIfTrue="1" operator="equal">
      <formula>$A$31</formula>
    </cfRule>
  </conditionalFormatting>
  <conditionalFormatting sqref="ES11">
    <cfRule type="cellIs" dxfId="418" priority="181" stopIfTrue="1" operator="equal">
      <formula>$A$30</formula>
    </cfRule>
  </conditionalFormatting>
  <conditionalFormatting sqref="ES15:ES16">
    <cfRule type="cellIs" dxfId="417" priority="170" stopIfTrue="1" operator="equal">
      <formula>$A$30</formula>
    </cfRule>
  </conditionalFormatting>
  <conditionalFormatting sqref="ES15:ES17">
    <cfRule type="cellIs" dxfId="416" priority="172" stopIfTrue="1" operator="equal">
      <formula>$A$31</formula>
    </cfRule>
  </conditionalFormatting>
  <conditionalFormatting sqref="ES16">
    <cfRule type="cellIs" dxfId="415" priority="173" stopIfTrue="1" operator="equal">
      <formula>$A$30</formula>
    </cfRule>
  </conditionalFormatting>
  <conditionalFormatting sqref="ES18">
    <cfRule type="cellIs" dxfId="414" priority="126" stopIfTrue="1" operator="equal">
      <formula>$A$31</formula>
    </cfRule>
  </conditionalFormatting>
  <conditionalFormatting sqref="ES13:EY13">
    <cfRule type="cellIs" dxfId="413" priority="35" stopIfTrue="1" operator="equal">
      <formula>$A$31</formula>
    </cfRule>
  </conditionalFormatting>
  <conditionalFormatting sqref="EU18:EY18">
    <cfRule type="cellIs" dxfId="412" priority="33" stopIfTrue="1" operator="equal">
      <formula>$A$31</formula>
    </cfRule>
  </conditionalFormatting>
  <conditionalFormatting sqref="EV11">
    <cfRule type="cellIs" dxfId="411" priority="83" stopIfTrue="1" operator="equal">
      <formula>$A$30</formula>
    </cfRule>
  </conditionalFormatting>
  <conditionalFormatting sqref="EW15:EY17">
    <cfRule type="cellIs" dxfId="410" priority="15" stopIfTrue="1" operator="equal">
      <formula>$A$31</formula>
    </cfRule>
  </conditionalFormatting>
  <conditionalFormatting sqref="EZ8">
    <cfRule type="cellIs" dxfId="409" priority="14" stopIfTrue="1" operator="equal">
      <formula>$A$31</formula>
    </cfRule>
  </conditionalFormatting>
  <conditionalFormatting sqref="EZ14">
    <cfRule type="cellIs" dxfId="408" priority="12" stopIfTrue="1" operator="equal">
      <formula>$A$31</formula>
    </cfRule>
  </conditionalFormatting>
  <conditionalFormatting sqref="EZ13">
    <cfRule type="cellIs" dxfId="407" priority="13" stopIfTrue="1" operator="equal">
      <formula>$A$31</formula>
    </cfRule>
  </conditionalFormatting>
  <conditionalFormatting sqref="EZ18">
    <cfRule type="cellIs" dxfId="406" priority="10" stopIfTrue="1" operator="equal">
      <formula>$A$31</formula>
    </cfRule>
  </conditionalFormatting>
  <conditionalFormatting sqref="EZ15:EZ17">
    <cfRule type="cellIs" dxfId="405" priority="1" stopIfTrue="1" operator="equal">
      <formula>$A$31</formula>
    </cfRule>
  </conditionalFormatting>
  <conditionalFormatting sqref="I10:R10">
    <cfRule type="cellIs" dxfId="404"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Z32"/>
  <sheetViews>
    <sheetView topLeftCell="C1" zoomScale="85" zoomScaleNormal="85" workbookViewId="0">
      <selection activeCell="I13" sqref="I13"/>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77" width="11.42578125" style="471"/>
    <col min="78" max="78" width="0" style="1026" hidden="1" customWidth="1"/>
    <col min="79" max="16384" width="11.42578125" style="471"/>
  </cols>
  <sheetData>
    <row r="1" spans="1:78">
      <c r="C1" s="1104" t="str">
        <f>Criterios!A9 &amp;"  "&amp;Criterios!B9</f>
        <v>Tribunales de Justicia  ANDALUCIA</v>
      </c>
    </row>
    <row r="2" spans="1:78" ht="16.5" customHeight="1">
      <c r="C2" s="488" t="str">
        <f>Criterios!A10 &amp;"  "&amp;Criterios!B10 &amp; "  " &amp; IF(NOT(ISBLANK(Criterios!A11)),Criterios!A11 &amp;"  "&amp;Criterios!B11,"")</f>
        <v>Provincias  HUELVA  Resumenes por Partidos Judiciales  VALVERDE DEL CAMINO</v>
      </c>
      <c r="D2" s="488"/>
      <c r="E2" s="489"/>
      <c r="F2" s="489"/>
      <c r="G2" s="490"/>
      <c r="I2" s="489"/>
      <c r="J2" s="262"/>
      <c r="K2" s="262"/>
      <c r="L2" s="489"/>
      <c r="M2" s="489"/>
      <c r="N2" s="489"/>
      <c r="O2" s="582"/>
      <c r="P2" s="582"/>
      <c r="Q2" s="489"/>
      <c r="U2" s="489"/>
      <c r="V2" s="491"/>
      <c r="Y2" s="604"/>
    </row>
    <row r="3" spans="1:78" ht="30" customHeight="1">
      <c r="C3" s="654"/>
      <c r="D3" s="493"/>
      <c r="G3" s="490"/>
      <c r="I3" s="489"/>
      <c r="BZ3" s="471"/>
    </row>
    <row r="4" spans="1:78"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c r="BZ4" s="471"/>
    </row>
    <row r="5" spans="1:78" ht="15.75" customHeight="1">
      <c r="A5" s="1263" t="s">
        <v>351</v>
      </c>
      <c r="B5" s="272"/>
      <c r="C5" s="1501" t="str">
        <f>"Año:  " &amp;Criterios!B$5 &amp; "          Trimestre   " &amp;Criterios!D$5 &amp; " al " &amp;Criterios!D$6</f>
        <v>Año:  2024          Trimestre   3 al 3</v>
      </c>
      <c r="D5" s="1492" t="s">
        <v>376</v>
      </c>
      <c r="E5" s="1492" t="s">
        <v>560</v>
      </c>
      <c r="F5" s="1503" t="s">
        <v>406</v>
      </c>
      <c r="G5" s="1492" t="s">
        <v>128</v>
      </c>
      <c r="H5" s="1492" t="s">
        <v>590</v>
      </c>
      <c r="I5" s="1492" t="s">
        <v>561</v>
      </c>
      <c r="J5" s="1492" t="s">
        <v>664</v>
      </c>
      <c r="K5" s="1492" t="s">
        <v>665</v>
      </c>
      <c r="L5" s="1492" t="s">
        <v>562</v>
      </c>
      <c r="M5" s="1492" t="s">
        <v>530</v>
      </c>
      <c r="N5" s="1492" t="s">
        <v>666</v>
      </c>
      <c r="O5" s="1495" t="s">
        <v>588</v>
      </c>
      <c r="P5" s="1492" t="s">
        <v>684</v>
      </c>
      <c r="Q5" s="1492" t="s">
        <v>679</v>
      </c>
      <c r="R5" s="1492" t="s">
        <v>168</v>
      </c>
      <c r="S5" s="1498" t="s">
        <v>676</v>
      </c>
      <c r="T5" s="1498" t="s">
        <v>678</v>
      </c>
      <c r="U5" s="1492" t="s">
        <v>591</v>
      </c>
      <c r="V5" s="1498" t="s">
        <v>563</v>
      </c>
      <c r="W5" s="1492" t="s">
        <v>770</v>
      </c>
      <c r="X5" s="1492" t="s">
        <v>771</v>
      </c>
      <c r="Y5" s="1512" t="s">
        <v>667</v>
      </c>
      <c r="Z5" s="1509" t="s">
        <v>613</v>
      </c>
      <c r="AA5" s="1527" t="s">
        <v>564</v>
      </c>
      <c r="AB5" s="1509" t="s">
        <v>565</v>
      </c>
      <c r="AC5" s="1509" t="s">
        <v>566</v>
      </c>
      <c r="AD5" s="1530" t="s">
        <v>668</v>
      </c>
      <c r="AE5" s="1530" t="s">
        <v>798</v>
      </c>
      <c r="AF5" s="1492" t="s">
        <v>680</v>
      </c>
      <c r="AG5" s="1492" t="s">
        <v>531</v>
      </c>
      <c r="AH5" s="1492" t="s">
        <v>669</v>
      </c>
      <c r="AI5" s="1492" t="s">
        <v>179</v>
      </c>
      <c r="AJ5" s="1492" t="s">
        <v>734</v>
      </c>
      <c r="AK5" s="1492" t="s">
        <v>532</v>
      </c>
      <c r="AL5" s="1492" t="s">
        <v>533</v>
      </c>
      <c r="AM5" s="1492" t="s">
        <v>685</v>
      </c>
      <c r="AN5" s="1492" t="s">
        <v>534</v>
      </c>
      <c r="AO5" s="1492" t="s">
        <v>535</v>
      </c>
      <c r="AP5" s="1492" t="s">
        <v>536</v>
      </c>
      <c r="AQ5" s="1492" t="s">
        <v>537</v>
      </c>
      <c r="AR5" s="1492" t="s">
        <v>670</v>
      </c>
      <c r="AS5" s="1492" t="s">
        <v>182</v>
      </c>
      <c r="AT5" s="1515" t="s">
        <v>180</v>
      </c>
      <c r="AU5" s="1492" t="s">
        <v>681</v>
      </c>
      <c r="AV5" s="1518" t="s">
        <v>682</v>
      </c>
      <c r="AW5" s="1521" t="s">
        <v>539</v>
      </c>
      <c r="AX5" s="1492" t="s">
        <v>540</v>
      </c>
      <c r="AY5" s="1492" t="s">
        <v>611</v>
      </c>
      <c r="AZ5" s="1524" t="s">
        <v>612</v>
      </c>
      <c r="BA5" s="1492" t="s">
        <v>568</v>
      </c>
      <c r="BB5" s="1518" t="s">
        <v>569</v>
      </c>
      <c r="BC5" s="1521" t="s">
        <v>183</v>
      </c>
      <c r="BD5" s="1492" t="s">
        <v>570</v>
      </c>
      <c r="BE5" s="1492" t="s">
        <v>247</v>
      </c>
      <c r="BF5" s="1492" t="s">
        <v>248</v>
      </c>
      <c r="BG5" s="1492" t="s">
        <v>249</v>
      </c>
      <c r="BH5" s="1492" t="s">
        <v>571</v>
      </c>
      <c r="BI5" s="1492" t="s">
        <v>250</v>
      </c>
      <c r="BJ5" s="1492" t="s">
        <v>572</v>
      </c>
      <c r="BK5" s="1492" t="s">
        <v>586</v>
      </c>
      <c r="BL5" s="1492" t="s">
        <v>573</v>
      </c>
      <c r="BM5" s="1492" t="s">
        <v>574</v>
      </c>
      <c r="BN5" s="1492" t="s">
        <v>599</v>
      </c>
      <c r="BO5" s="1492" t="s">
        <v>592</v>
      </c>
      <c r="BP5" s="1492" t="s">
        <v>838</v>
      </c>
      <c r="BQ5" s="1492" t="s">
        <v>841</v>
      </c>
      <c r="BR5" s="1492" t="s">
        <v>843</v>
      </c>
      <c r="BS5" s="1492" t="s">
        <v>593</v>
      </c>
      <c r="BT5" s="1492" t="s">
        <v>575</v>
      </c>
      <c r="BU5" s="1492" t="s">
        <v>538</v>
      </c>
      <c r="BV5" s="1506" t="s">
        <v>772</v>
      </c>
      <c r="BZ5" s="471"/>
    </row>
    <row r="6" spans="1:78" ht="21.75" customHeight="1">
      <c r="A6" s="1264"/>
      <c r="B6" s="273"/>
      <c r="C6" s="1502"/>
      <c r="D6" s="1493"/>
      <c r="E6" s="1493"/>
      <c r="F6" s="1504"/>
      <c r="G6" s="1493"/>
      <c r="H6" s="1493"/>
      <c r="I6" s="1493"/>
      <c r="J6" s="1493"/>
      <c r="K6" s="1493"/>
      <c r="L6" s="1493"/>
      <c r="M6" s="1493"/>
      <c r="N6" s="1493"/>
      <c r="O6" s="1496"/>
      <c r="P6" s="1493"/>
      <c r="Q6" s="1493"/>
      <c r="R6" s="1493"/>
      <c r="S6" s="1499"/>
      <c r="T6" s="1499"/>
      <c r="U6" s="1493"/>
      <c r="V6" s="1499"/>
      <c r="W6" s="1493"/>
      <c r="X6" s="1493"/>
      <c r="Y6" s="1513"/>
      <c r="Z6" s="1510"/>
      <c r="AA6" s="1528"/>
      <c r="AB6" s="1510"/>
      <c r="AC6" s="1510"/>
      <c r="AD6" s="1531"/>
      <c r="AE6" s="1531"/>
      <c r="AF6" s="1493"/>
      <c r="AG6" s="1493"/>
      <c r="AH6" s="1493"/>
      <c r="AI6" s="1493"/>
      <c r="AJ6" s="1493"/>
      <c r="AK6" s="1493"/>
      <c r="AL6" s="1493"/>
      <c r="AM6" s="1493"/>
      <c r="AN6" s="1493"/>
      <c r="AO6" s="1493"/>
      <c r="AP6" s="1493"/>
      <c r="AQ6" s="1493"/>
      <c r="AR6" s="1493"/>
      <c r="AS6" s="1493"/>
      <c r="AT6" s="1516"/>
      <c r="AU6" s="1493"/>
      <c r="AV6" s="1519"/>
      <c r="AW6" s="1522"/>
      <c r="AX6" s="1493"/>
      <c r="AY6" s="1493"/>
      <c r="AZ6" s="1525"/>
      <c r="BA6" s="1493"/>
      <c r="BB6" s="1519"/>
      <c r="BC6" s="1522"/>
      <c r="BD6" s="1493"/>
      <c r="BE6" s="1493"/>
      <c r="BF6" s="1493"/>
      <c r="BG6" s="1493"/>
      <c r="BH6" s="1493"/>
      <c r="BI6" s="1493"/>
      <c r="BJ6" s="1493"/>
      <c r="BK6" s="1493"/>
      <c r="BL6" s="1493"/>
      <c r="BM6" s="1493"/>
      <c r="BN6" s="1493"/>
      <c r="BO6" s="1493"/>
      <c r="BP6" s="1493"/>
      <c r="BQ6" s="1493"/>
      <c r="BR6" s="1493"/>
      <c r="BS6" s="1493"/>
      <c r="BT6" s="1493"/>
      <c r="BU6" s="1493"/>
      <c r="BV6" s="1507"/>
      <c r="BZ6" s="471"/>
    </row>
    <row r="7" spans="1:78" ht="38.25" customHeight="1" thickBot="1">
      <c r="A7" s="1265"/>
      <c r="B7" s="274"/>
      <c r="C7" s="264" t="str">
        <f>Datos!A7</f>
        <v>COMPETENCIAS</v>
      </c>
      <c r="D7" s="1494"/>
      <c r="E7" s="1494"/>
      <c r="F7" s="1505"/>
      <c r="G7" s="1494"/>
      <c r="H7" s="1494"/>
      <c r="I7" s="1494"/>
      <c r="J7" s="1494"/>
      <c r="K7" s="1494"/>
      <c r="L7" s="1494"/>
      <c r="M7" s="1494"/>
      <c r="N7" s="1494"/>
      <c r="O7" s="1497"/>
      <c r="P7" s="1494"/>
      <c r="Q7" s="1494"/>
      <c r="R7" s="1494"/>
      <c r="S7" s="1500"/>
      <c r="T7" s="1500"/>
      <c r="U7" s="1494"/>
      <c r="V7" s="1500"/>
      <c r="W7" s="1494"/>
      <c r="X7" s="1494"/>
      <c r="Y7" s="1514"/>
      <c r="Z7" s="1511"/>
      <c r="AA7" s="1529"/>
      <c r="AB7" s="1511"/>
      <c r="AC7" s="1511"/>
      <c r="AD7" s="1532"/>
      <c r="AE7" s="1532"/>
      <c r="AF7" s="1494"/>
      <c r="AG7" s="1494"/>
      <c r="AH7" s="1494"/>
      <c r="AI7" s="1494"/>
      <c r="AJ7" s="1494"/>
      <c r="AK7" s="1494"/>
      <c r="AL7" s="1494"/>
      <c r="AM7" s="1494"/>
      <c r="AN7" s="1494"/>
      <c r="AO7" s="1494"/>
      <c r="AP7" s="1494"/>
      <c r="AQ7" s="1494"/>
      <c r="AR7" s="1494"/>
      <c r="AS7" s="1494"/>
      <c r="AT7" s="1517"/>
      <c r="AU7" s="1494"/>
      <c r="AV7" s="1520"/>
      <c r="AW7" s="1523"/>
      <c r="AX7" s="1494"/>
      <c r="AY7" s="1494"/>
      <c r="AZ7" s="1526"/>
      <c r="BA7" s="1494"/>
      <c r="BB7" s="1520"/>
      <c r="BC7" s="1523"/>
      <c r="BD7" s="1494"/>
      <c r="BE7" s="1494"/>
      <c r="BF7" s="1494"/>
      <c r="BG7" s="1494"/>
      <c r="BH7" s="1494"/>
      <c r="BI7" s="1494"/>
      <c r="BJ7" s="1494"/>
      <c r="BK7" s="1494"/>
      <c r="BL7" s="1494"/>
      <c r="BM7" s="1494"/>
      <c r="BN7" s="1494"/>
      <c r="BO7" s="1494"/>
      <c r="BP7" s="1494"/>
      <c r="BQ7" s="1494"/>
      <c r="BR7" s="1494"/>
      <c r="BS7" s="1494"/>
      <c r="BT7" s="1494"/>
      <c r="BU7" s="1494"/>
      <c r="BV7" s="1508"/>
      <c r="BZ7" s="471"/>
    </row>
    <row r="8" spans="1:78"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8" ht="14.25">
      <c r="A9" s="501">
        <f>Datos!AO9</f>
        <v>0</v>
      </c>
      <c r="B9" s="501" t="s">
        <v>246</v>
      </c>
      <c r="C9" s="160" t="str">
        <f>Datos!A9</f>
        <v xml:space="preserve">Jdos. 1ª Instancia   </v>
      </c>
      <c r="D9" s="502"/>
      <c r="E9" s="260">
        <f>IF(ISNUMBER(Datos!AQ9),Datos!AQ9," - ")</f>
        <v>0</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t="str">
        <f>IF(ISNUMBER(Datos!Z9),Datos!Z9," - ")</f>
        <v xml:space="preserve"> - </v>
      </c>
      <c r="O9" s="334"/>
      <c r="P9" s="334"/>
      <c r="Q9" s="226">
        <f>IF(ISNUMBER(Datos!P9),Datos!P9,0)</f>
        <v>0</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t="str">
        <f>IF(ISNUMBER(Datos!Q9),Datos!Q9," - ")</f>
        <v xml:space="preserve"> - </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t="str">
        <f>IF(ISNUMBER(Datos!AB9),Datos!AB9,"-")</f>
        <v>-</v>
      </c>
      <c r="AI9" s="334" t="str">
        <f>IF(ISNUMBER(Datos!CD9),Datos!CD9,"-")</f>
        <v>-</v>
      </c>
      <c r="AJ9" s="334" t="str">
        <f>IF(ISNUMBER(Datos!EN9),Datos!EN9," - ")</f>
        <v xml:space="preserve"> - </v>
      </c>
      <c r="AK9" s="334"/>
      <c r="AL9" s="479"/>
      <c r="AM9" s="335" t="str">
        <f>IF(ISNUMBER(Datos!R9),Datos!R9," - ")</f>
        <v xml:space="preserve"> - </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t="str">
        <f>IF(ISNUMBER(Datos!M9),Datos!M9," - ")</f>
        <v xml:space="preserve"> - </v>
      </c>
      <c r="BD9" s="229" t="str">
        <f>IF(ISNUMBER(Datos!N9),Datos!N9," - ")</f>
        <v xml:space="preserve"> - </v>
      </c>
      <c r="BE9" s="229" t="str">
        <f>IF(ISNUMBER(Datos!BW9),Datos!BW9," - ")</f>
        <v xml:space="preserve"> - </v>
      </c>
      <c r="BF9" s="228" t="str">
        <f>IF(ISNUMBER(Datos!BX9),Datos!BX9," - ")</f>
        <v xml:space="preserve"> - </v>
      </c>
      <c r="BG9" s="243" t="str">
        <f>IF(ISNUMBER(IF(J_V="SI",Datos!K9/Datos!J9,(Datos!K9+Datos!AA9)/(Datos!J9+Datos!Z9))),IF(J_V="SI",Datos!K9/Datos!J9,(Datos!K9+Datos!AA9)/(Datos!J9+Datos!Z9))," - ")</f>
        <v xml:space="preserve"> - </v>
      </c>
      <c r="BH9" s="260" t="str">
        <f>IF(ISNUMBER(((IF(J_V="SI",Datos!L9/Datos!K9,(Datos!L9+Datos!AB9)/(Datos!K9+Datos!AA9)))*11)/factor_trimestre),((IF(J_V="SI",Datos!L9/Datos!K9,(Datos!L9+Datos!AB9)/(Datos!K9+Datos!AA9)))*11)/factor_trimestre," - ")</f>
        <v xml:space="preserve"> - </v>
      </c>
      <c r="BI9" s="243"/>
      <c r="BJ9" s="230" t="str">
        <f>IF(ISNUMBER(Datos!CI9/Datos!CJ9),Datos!CI9/Datos!CJ9," - ")</f>
        <v xml:space="preserve"> - </v>
      </c>
      <c r="BK9" s="360" t="str">
        <f>IF(ISNUMBER(Datos!CJ9),Datos!CJ9," - ")</f>
        <v xml:space="preserve"> - </v>
      </c>
      <c r="BL9" s="230" t="str">
        <f>IF(ISNUMBER((J9-AB9+L9)/(F9)),(J9-AB9+L9)/(F9)," - ")</f>
        <v xml:space="preserve"> - </v>
      </c>
      <c r="BM9" s="611" t="str">
        <f>IF(ISNUMBER((Datos!P9-Datos!Q9+Datos!DE9)/(Datos!R9-Datos!P9+Datos!Q9-Datos!DE9)),(Datos!P9-Datos!Q9+Datos!DE9)/(Datos!R9-Datos!P9+Datos!Q9-Datos!DE9)," - ")</f>
        <v xml:space="preserve"> - </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218.18181818181819</v>
      </c>
      <c r="BZ9" s="1186">
        <f>Datos!EZ9</f>
        <v>0</v>
      </c>
    </row>
    <row r="10" spans="1:78" ht="14.25">
      <c r="A10" s="501">
        <f>Datos!AO10</f>
        <v>1</v>
      </c>
      <c r="B10" s="507" t="s">
        <v>246</v>
      </c>
      <c r="C10" s="7" t="str">
        <f>Datos!A10</f>
        <v>Jdos. Violencia contra la mujer</v>
      </c>
      <c r="D10" s="508"/>
      <c r="E10" s="260">
        <f>IF(ISNUMBER(Datos!AQ10),Datos!AQ10," - ")</f>
        <v>0</v>
      </c>
      <c r="F10" s="225">
        <f>IF(ISNUMBER(Datos!L10+Datos!K10-Datos!J10),Datos!L10+Datos!K10-Datos!J10," - ")</f>
        <v>17</v>
      </c>
      <c r="G10" s="333">
        <f>IF(ISNUMBER(Datos!I10),Datos!I10," - ")</f>
        <v>17</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0</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2</v>
      </c>
      <c r="AC10" s="226">
        <f>IF(ISNUMBER(Datos!Q10),Datos!Q10," - ")</f>
        <v>0</v>
      </c>
      <c r="AD10" s="334"/>
      <c r="AE10" s="484"/>
      <c r="AF10" s="332">
        <f>IF(ISNUMBER(Datos!L10),Datos!L10,"-")</f>
        <v>17</v>
      </c>
      <c r="AG10" s="334"/>
      <c r="AH10" s="334"/>
      <c r="AI10" s="334"/>
      <c r="AJ10" s="334"/>
      <c r="AK10" s="334"/>
      <c r="AL10" s="479"/>
      <c r="AM10" s="335">
        <f>IF(ISNUMBER(Datos!R10),Datos!R10," - ")</f>
        <v>0</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1</v>
      </c>
      <c r="BD10" s="229">
        <f>IF(ISNUMBER(Datos!N10),Datos!N10," - ")</f>
        <v>1</v>
      </c>
      <c r="BE10" s="229" t="str">
        <f>IF(ISNUMBER(Datos!BW10),Datos!BW10," - ")</f>
        <v xml:space="preserve"> - </v>
      </c>
      <c r="BF10" s="228" t="str">
        <f>IF(ISNUMBER(Datos!BX10),Datos!BX10," - ")</f>
        <v xml:space="preserve"> - </v>
      </c>
      <c r="BG10" s="243">
        <f>IF(ISNUMBER(Datos!K10/Datos!J10),Datos!K10/Datos!J10," - ")</f>
        <v>1</v>
      </c>
      <c r="BH10" s="260">
        <f>IF(ISNUMBER(((Datos!L10/Datos!K10)*11)/factor_trimestre),((Datos!L10/Datos!K10)*11)/factor_trimestre," - ")</f>
        <v>17</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t="str">
        <f>IF(ISNUMBER((Datos!P10-Datos!Q10+Datos!DE10)/(Datos!R10-Datos!P10+Datos!Q10-Datos!DE10)),(Datos!P10-Datos!Q10+Datos!DE10)/(Datos!R10-Datos!P10+Datos!Q10-Datos!DE10)," - ")</f>
        <v xml:space="preserve"> - </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290.90909090909093</v>
      </c>
      <c r="BZ10" s="1186">
        <f>Datos!EZ10</f>
        <v>0</v>
      </c>
    </row>
    <row r="11" spans="1:78" ht="14.25">
      <c r="A11" s="501">
        <f>Datos!AO11</f>
        <v>0</v>
      </c>
      <c r="B11" s="507" t="s">
        <v>246</v>
      </c>
      <c r="C11" s="7" t="str">
        <f>Datos!A11</f>
        <v xml:space="preserve">Jdos. Familia                                   </v>
      </c>
      <c r="D11" s="508"/>
      <c r="E11" s="260">
        <f>IF(ISNUMBER(Datos!AQ11),Datos!AQ11," - ")</f>
        <v>0</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t="str">
        <f>IF(ISNUMBER(Datos!Z11),Datos!Z11," - ")</f>
        <v xml:space="preserve"> - </v>
      </c>
      <c r="O11" s="334"/>
      <c r="P11" s="334"/>
      <c r="Q11" s="226">
        <f>IF(ISNUMBER(Datos!P11),Datos!P11,0)</f>
        <v>0</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t="str">
        <f>IF(ISNUMBER(Datos!Q11),Datos!Q11," - ")</f>
        <v xml:space="preserve"> - </v>
      </c>
      <c r="AD11" s="334"/>
      <c r="AE11" s="484"/>
      <c r="AF11" s="332" t="str">
        <f>IF(ISNUMBER(IF(J_V="SI",Datos!L11,Datos!L11+Datos!AB11)-IF(Monitorios="SI",Datos!CD11,0)),
                          IF(J_V="SI",Datos!L11,Datos!L11+Datos!AB11)-IF(Monitorios="SI",Datos!CD11,0),
                          " - ")</f>
        <v xml:space="preserve"> - </v>
      </c>
      <c r="AG11" s="334"/>
      <c r="AH11" s="334" t="str">
        <f>IF(ISNUMBER(Datos!AB11),Datos!AB11,"-")</f>
        <v>-</v>
      </c>
      <c r="AI11" s="334"/>
      <c r="AJ11" s="334"/>
      <c r="AK11" s="334"/>
      <c r="AL11" s="479"/>
      <c r="AM11" s="335" t="str">
        <f>IF(ISNUMBER(Datos!R11),Datos!R11," - ")</f>
        <v xml:space="preserve"> - </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t="str">
        <f>IF(ISNUMBER(Datos!M11),Datos!M11," - ")</f>
        <v xml:space="preserve"> - </v>
      </c>
      <c r="BD11" s="229" t="str">
        <f>IF(ISNUMBER(Datos!N11),Datos!N11," - ")</f>
        <v xml:space="preserve"> - </v>
      </c>
      <c r="BE11" s="229" t="str">
        <f>IF(ISNUMBER(Datos!BW11),Datos!BW11," - ")</f>
        <v xml:space="preserve"> - </v>
      </c>
      <c r="BF11" s="228" t="str">
        <f>IF(ISNUMBER(Datos!BX11),Datos!BX11," - ")</f>
        <v xml:space="preserve"> - </v>
      </c>
      <c r="BG11" s="243" t="str">
        <f>IF(ISNUMBER(IF(J_V="SI",Datos!K11/Datos!J11,(Datos!K11+Datos!AA11)/(Datos!J11+Datos!Z11))),IF(J_V="SI",Datos!K11/Datos!J11,(Datos!K11+Datos!AA11)/(Datos!J11+Datos!Z11))," - ")</f>
        <v xml:space="preserve"> - </v>
      </c>
      <c r="BH11" s="260" t="str">
        <f>IF(ISNUMBER(((IF(J_V="SI",Datos!L11/Datos!K11,(Datos!L11+Datos!AB11)/(Datos!K11+Datos!AA11)))*11)/factor_trimestre),((IF(J_V="SI",Datos!L11/Datos!K11,(Datos!L11+Datos!AB11)/(Datos!K11+Datos!AA11)))*11)/factor_trimestre," - ")</f>
        <v xml:space="preserve"> - </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t="str">
        <f>IF(ISNUMBER((Datos!P11-Datos!Q11+Datos!DE11)/(Datos!R11-Datos!P11+Datos!Q11-Datos!DE11)),(Datos!P11-Datos!Q11+Datos!DE11)/(Datos!R11-Datos!P11+Datos!Q11-Datos!DE11)," - ")</f>
        <v xml:space="preserve"> - </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240.54545454545453</v>
      </c>
      <c r="BZ11" s="1186">
        <f>Datos!EZ11</f>
        <v>0</v>
      </c>
    </row>
    <row r="12" spans="1:78" ht="15" thickBot="1">
      <c r="A12" s="501">
        <f>Datos!AO12</f>
        <v>2</v>
      </c>
      <c r="B12" s="507" t="s">
        <v>246</v>
      </c>
      <c r="C12" s="7" t="str">
        <f>Datos!A12</f>
        <v xml:space="preserve">Jdos. 1ª Instª. e Instr.                        </v>
      </c>
      <c r="D12" s="508"/>
      <c r="E12" s="260">
        <f>IF(ISNUMBER(Datos!AQ12),Datos!AQ12," - ")</f>
        <v>2</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f>IF(ISNUMBER(Datos!Z12),Datos!Z12," - ")</f>
        <v>30</v>
      </c>
      <c r="O12" s="334"/>
      <c r="P12" s="334"/>
      <c r="Q12" s="226">
        <f>IF(ISNUMBER(Datos!P12),Datos!P12,0)</f>
        <v>94</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f>IF(ISNUMBER(Datos!Q12),Datos!Q12," - ")</f>
        <v>47</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f>IF(ISNUMBER(Datos!AB12),Datos!AB12,"-")</f>
        <v>69</v>
      </c>
      <c r="AI12" s="334" t="str">
        <f>IF(ISNUMBER(Datos!CD12),Datos!CD12,"-")</f>
        <v>-</v>
      </c>
      <c r="AJ12" s="334" t="str">
        <f>IF(ISNUMBER(Datos!EN12),Datos!EN12," - ")</f>
        <v xml:space="preserve"> - </v>
      </c>
      <c r="AK12" s="334"/>
      <c r="AL12" s="479"/>
      <c r="AM12" s="335">
        <f>IF(ISNUMBER(Datos!R12),Datos!R12," - ")</f>
        <v>2053</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f>IF(ISNUMBER(Datos!M12),Datos!M12," - ")</f>
        <v>87</v>
      </c>
      <c r="BD12" s="229">
        <f>IF(ISNUMBER(Datos!N12),Datos!N12," - ")</f>
        <v>153</v>
      </c>
      <c r="BE12" s="229" t="str">
        <f>IF(ISNUMBER(Datos!BW12),Datos!BW12," - ")</f>
        <v xml:space="preserve"> - </v>
      </c>
      <c r="BF12" s="228" t="str">
        <f>IF(ISNUMBER(Datos!BX12),Datos!BX12," - ")</f>
        <v xml:space="preserve"> - </v>
      </c>
      <c r="BG12" s="243">
        <f>IF(ISNUMBER(IF(J_V="SI",Datos!K12/Datos!J12,(Datos!K12+Datos!AA12)/(Datos!J12+Datos!Z12))),IF(J_V="SI",Datos!K12/Datos!J12,(Datos!K12+Datos!AA12)/(Datos!J12+Datos!Z12))," - ")</f>
        <v>0.9652605459057072</v>
      </c>
      <c r="BH12" s="260">
        <f>IF(ISNUMBER(((IF(J_V="SI",Datos!L12/Datos!K12,(Datos!L12+Datos!AB12)/(Datos!K12+Datos!AA12)))*11)/factor_trimestre),((IF(J_V="SI",Datos!L12/Datos!K12,(Datos!L12+Datos!AB12)/(Datos!K12+Datos!AA12)))*11)/factor_trimestre," - ")</f>
        <v>10.488431876606684</v>
      </c>
      <c r="BI12" s="243"/>
      <c r="BJ12" s="230" t="str">
        <f>IF(ISNUMBER(Datos!CI12/Datos!CJ12),Datos!CI12/Datos!CJ12," - ")</f>
        <v xml:space="preserve"> - </v>
      </c>
      <c r="BK12" s="360" t="str">
        <f>IF(ISNUMBER(Datos!CJ12),Datos!CJ12," - ")</f>
        <v xml:space="preserve"> - </v>
      </c>
      <c r="BL12" s="230" t="str">
        <f>IF(ISNUMBER((I12-AB12+L12)/(F12)),(I12-AB12+L12)/(F12)," - ")</f>
        <v xml:space="preserve"> - </v>
      </c>
      <c r="BM12" s="611">
        <f>IF(ISNUMBER((Datos!P12-Datos!Q12+Datos!DE12)/(Datos!R12-Datos!P12+Datos!Q12-Datos!DE12)),(Datos!P12-Datos!Q12+Datos!DE12)/(Datos!R12-Datos!P12+Datos!Q12-Datos!DE12)," - ")</f>
        <v>2.3429710867397806E-2</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123.63636363636364</v>
      </c>
      <c r="BZ12" s="1186">
        <f>Datos!EZ12</f>
        <v>0</v>
      </c>
    </row>
    <row r="13" spans="1:78" ht="15.75" thickTop="1" thickBot="1">
      <c r="A13" s="178"/>
      <c r="B13" s="178"/>
      <c r="C13" s="863" t="str">
        <f>Datos!A13</f>
        <v>TOTAL</v>
      </c>
      <c r="D13" s="897"/>
      <c r="E13" s="1164">
        <f t="shared" ref="E13:Z13" si="0">SUBTOTAL(9,E8:E12)</f>
        <v>2</v>
      </c>
      <c r="F13" s="898">
        <f t="shared" si="0"/>
        <v>17</v>
      </c>
      <c r="G13" s="898">
        <f t="shared" si="0"/>
        <v>17</v>
      </c>
      <c r="H13" s="899">
        <f t="shared" si="0"/>
        <v>0</v>
      </c>
      <c r="I13" s="898">
        <f t="shared" si="0"/>
        <v>0</v>
      </c>
      <c r="J13" s="867">
        <f t="shared" si="0"/>
        <v>0</v>
      </c>
      <c r="K13" s="867">
        <f t="shared" si="0"/>
        <v>0</v>
      </c>
      <c r="L13" s="899">
        <f t="shared" si="0"/>
        <v>0</v>
      </c>
      <c r="M13" s="899">
        <f t="shared" si="0"/>
        <v>0</v>
      </c>
      <c r="N13" s="899">
        <f t="shared" si="0"/>
        <v>30</v>
      </c>
      <c r="O13" s="900">
        <f t="shared" si="0"/>
        <v>0</v>
      </c>
      <c r="P13" s="900">
        <f t="shared" si="0"/>
        <v>0</v>
      </c>
      <c r="Q13" s="899">
        <f t="shared" si="0"/>
        <v>94</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2</v>
      </c>
      <c r="AC13" s="899">
        <f t="shared" si="1"/>
        <v>47</v>
      </c>
      <c r="AD13" s="899">
        <f t="shared" si="1"/>
        <v>0</v>
      </c>
      <c r="AE13" s="899">
        <f t="shared" si="1"/>
        <v>0</v>
      </c>
      <c r="AF13" s="899">
        <f t="shared" si="1"/>
        <v>17</v>
      </c>
      <c r="AG13" s="899">
        <f t="shared" si="1"/>
        <v>0</v>
      </c>
      <c r="AH13" s="899">
        <f t="shared" si="1"/>
        <v>69</v>
      </c>
      <c r="AI13" s="899">
        <f t="shared" si="1"/>
        <v>0</v>
      </c>
      <c r="AJ13" s="899">
        <f t="shared" si="1"/>
        <v>0</v>
      </c>
      <c r="AK13" s="899">
        <f t="shared" si="1"/>
        <v>0</v>
      </c>
      <c r="AL13" s="899">
        <f t="shared" si="1"/>
        <v>0</v>
      </c>
      <c r="AM13" s="899">
        <f t="shared" si="1"/>
        <v>2053</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88</v>
      </c>
      <c r="BD13" s="899">
        <f t="shared" si="1"/>
        <v>154</v>
      </c>
      <c r="BE13" s="899">
        <f t="shared" si="1"/>
        <v>0</v>
      </c>
      <c r="BF13" s="899">
        <f t="shared" si="1"/>
        <v>0</v>
      </c>
      <c r="BG13" s="899">
        <f>IF(ISNUMBER(Datos!K13/Datos!J13),Datos!K13/Datos!J13," - ")</f>
        <v>0.95466666666666666</v>
      </c>
      <c r="BH13" s="903">
        <f>IF(ISNUMBER(((Datos!L13/Datos!K13)*11)/factor_trimestre),((Datos!L13/Datos!K13)*11)/factor_trimestre," - ")</f>
        <v>11.106145251396647</v>
      </c>
      <c r="BI13" s="899">
        <f>IF(ISNUMBER('Resol  Asuntos'!D13/NºAsuntos!G13),'Resol  Asuntos'!D13/NºAsuntos!G13," - ")</f>
        <v>0.22506393861892582</v>
      </c>
      <c r="BJ13" s="899" t="str">
        <f>IF(ISNUMBER(Datos!CI13/Datos!CJ13),Datos!CI13/Datos!CJ13," - ")</f>
        <v xml:space="preserve"> - </v>
      </c>
      <c r="BK13" s="899">
        <f>SUBTOTAL(9,BK8:BK12)</f>
        <v>0</v>
      </c>
      <c r="BL13" s="899">
        <f>IF(ISNUMBER((I13-AB13+L13)/(F13)),(I13-AB13+L13)/(F13)," - ")</f>
        <v>-0.11764705882352941</v>
      </c>
      <c r="BM13" s="904">
        <f>SUBTOTAL(9,BM9:BM12)</f>
        <v>2.3429710867397806E-2</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873.27272727272725</v>
      </c>
      <c r="BZ13" s="1186"/>
    </row>
    <row r="14" spans="1:78"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c r="BZ14" s="1186">
        <f>Datos!EZ14</f>
        <v>0</v>
      </c>
    </row>
    <row r="15" spans="1:78" s="599" customFormat="1" ht="14.25">
      <c r="A15" s="593">
        <f>Datos!AO15</f>
        <v>0</v>
      </c>
      <c r="B15" s="594" t="s">
        <v>396</v>
      </c>
      <c r="C15" s="600" t="str">
        <f>Datos!A15</f>
        <v xml:space="preserve">Jdos. Instrucción                               </v>
      </c>
      <c r="D15" s="601"/>
      <c r="E15" s="1165">
        <f>IF(ISNUMBER(Datos!AQ15),Datos!AQ15," - ")</f>
        <v>0</v>
      </c>
      <c r="F15" s="595" t="str">
        <f>IF(ISNUMBER(AF15+AB15-Datos!J15-L15),AF15+AB15-Datos!J15-L15," - ")</f>
        <v xml:space="preserve"> - </v>
      </c>
      <c r="G15" s="598" t="str">
        <f>IF(ISNUMBER(IF(D_I="SI",Datos!I15,Datos!I15+Datos!AC15)),IF(D_I="SI",Datos!I15,Datos!I15+Datos!AC15)," - ")</f>
        <v xml:space="preserve"> - </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0</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t="str">
        <f>IF(ISNUMBER(IF(D_I="SI",Datos!K15,Datos!K15+Datos!AE15)),IF(D_I="SI",Datos!K15,Datos!K15+Datos!AE15)," - ")</f>
        <v xml:space="preserve"> - </v>
      </c>
      <c r="AC15" s="226" t="str">
        <f>IF(ISNUMBER(Datos!Q15),Datos!Q15," - ")</f>
        <v xml:space="preserve"> - </v>
      </c>
      <c r="AD15" s="334"/>
      <c r="AE15" s="484"/>
      <c r="AF15" s="596" t="str">
        <f>IF(ISNUMBER(IF(D_I="SI",Datos!L15,Datos!L15+Datos!AF15)),IF(D_I="SI",Datos!L15,Datos!L15+Datos!AF15)," - ")</f>
        <v xml:space="preserve"> - </v>
      </c>
      <c r="AG15" s="334"/>
      <c r="AH15" s="334"/>
      <c r="AI15" s="334"/>
      <c r="AJ15" s="334"/>
      <c r="AK15" s="334"/>
      <c r="AL15" s="479"/>
      <c r="AM15" s="335" t="str">
        <f>IF(ISNUMBER(Datos!R15),Datos!R15," - ")</f>
        <v xml:space="preserve"> - </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t="str">
        <f>IF(ISNUMBER(Datos!M15),Datos!M15," - ")</f>
        <v xml:space="preserve"> - </v>
      </c>
      <c r="BD15" s="229" t="str">
        <f>IF(ISNUMBER(Datos!N15),Datos!N15," - ")</f>
        <v xml:space="preserve"> - </v>
      </c>
      <c r="BE15" s="229" t="str">
        <f>IF(ISNUMBER(Datos!BW15),Datos!BW15," - ")</f>
        <v xml:space="preserve"> - </v>
      </c>
      <c r="BF15" s="228" t="str">
        <f>IF(ISNUMBER(Datos!BX15),Datos!BX15," - ")</f>
        <v xml:space="preserve"> - </v>
      </c>
      <c r="BG15" s="243" t="str">
        <f>IF(ISNUMBER(IF(D_I="SI",Datos!K15/Datos!J15,(Datos!K15+Datos!AE15)/(Datos!J15+Datos!AD15))),IF(D_I="SI",Datos!K15/Datos!J15,(Datos!K15+Datos!AE15)/(Datos!J15+Datos!AD15))," - ")</f>
        <v xml:space="preserve"> - </v>
      </c>
      <c r="BH15" s="260" t="str">
        <f>IF(ISNUMBER(((IF(D_I="SI",Datos!L15/Datos!K15,(Datos!L15+Datos!AF15)/(Datos!K15+Datos!AE15)))*11)/factor_trimestre),((IF(D_I="SI",Datos!L15/Datos!K15,(Datos!L15+Datos!AF15)/(Datos!K15+Datos!AE15)))*11)/factor_trimestre," - ")</f>
        <v xml:space="preserve"> - </v>
      </c>
      <c r="BI15" s="243" t="str">
        <f>IF(ISNUMBER('Resol  Asuntos'!D15/NºAsuntos!G15),'Resol  Asuntos'!D15/NºAsuntos!G15," - ")</f>
        <v xml:space="preserve"> - </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600</v>
      </c>
      <c r="BZ15" s="1186">
        <f>Datos!EZ15</f>
        <v>0</v>
      </c>
    </row>
    <row r="16" spans="1:78" s="599" customFormat="1" ht="14.25">
      <c r="A16" s="593">
        <f>Datos!AO16</f>
        <v>2</v>
      </c>
      <c r="B16" s="594" t="s">
        <v>396</v>
      </c>
      <c r="C16" s="600" t="str">
        <f>Datos!A16</f>
        <v xml:space="preserve">Jdos. 1ª Instª. e Instr.                        </v>
      </c>
      <c r="D16" s="601"/>
      <c r="E16" s="1165">
        <f>IF(ISNUMBER(Datos!AQ16),Datos!AQ16," - ")</f>
        <v>2</v>
      </c>
      <c r="F16" s="595">
        <f>IF(ISNUMBER(AF16+AB16-Datos!J16-L16),AF16+AB16-Datos!J16-L16," - ")</f>
        <v>1352</v>
      </c>
      <c r="G16" s="598">
        <f>IF(ISNUMBER(IF(D_I="SI",Datos!I16,Datos!I16+Datos!AC16)),IF(D_I="SI",Datos!I16,Datos!I16+Datos!AC16)," - ")</f>
        <v>1352</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6</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f>IF(ISNUMBER(IF(D_I="SI",Datos!K16,Datos!K16+Datos!AE16)),IF(D_I="SI",Datos!K16,Datos!K16+Datos!AE16)," - ")</f>
        <v>354</v>
      </c>
      <c r="AC16" s="226">
        <f>IF(ISNUMBER(Datos!Q16),Datos!Q16," - ")</f>
        <v>9</v>
      </c>
      <c r="AD16" s="334"/>
      <c r="AE16" s="484"/>
      <c r="AF16" s="596">
        <f>IF(ISNUMBER(IF(D_I="SI",Datos!L16,Datos!L16+Datos!AF16)),IF(D_I="SI",Datos!L16,Datos!L16+Datos!AF16)," - ")</f>
        <v>1342</v>
      </c>
      <c r="AG16" s="334"/>
      <c r="AH16" s="334"/>
      <c r="AI16" s="334"/>
      <c r="AJ16" s="334"/>
      <c r="AK16" s="334"/>
      <c r="AL16" s="479"/>
      <c r="AM16" s="335">
        <f>IF(ISNUMBER(Datos!R16),Datos!R16," - ")</f>
        <v>75</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f>IF(ISNUMBER(Datos!M16),Datos!M16," - ")</f>
        <v>62</v>
      </c>
      <c r="BD16" s="229">
        <f>IF(ISNUMBER(Datos!N16),Datos!N16," - ")</f>
        <v>227</v>
      </c>
      <c r="BE16" s="229" t="str">
        <f>IF(ISNUMBER(Datos!BW16),Datos!BW16," - ")</f>
        <v xml:space="preserve"> - </v>
      </c>
      <c r="BF16" s="228" t="str">
        <f>IF(ISNUMBER(Datos!BX16),Datos!BX16," - ")</f>
        <v xml:space="preserve"> - </v>
      </c>
      <c r="BG16" s="243">
        <f>IF(ISNUMBER(IF(D_I="SI",Datos!K16/Datos!J16,(Datos!K16+Datos!AE16)/(Datos!J16+Datos!AD16))),IF(D_I="SI",Datos!K16/Datos!J16,(Datos!K16+Datos!AE16)/(Datos!J16+Datos!AD16))," - ")</f>
        <v>1.0290697674418605</v>
      </c>
      <c r="BH16" s="260">
        <f>IF(ISNUMBER(((IF(D_I="SI",Datos!L16/Datos!K16,(Datos!L16+Datos!AF16)/(Datos!K16+Datos!AE16)))*11)/factor_trimestre),((IF(D_I="SI",Datos!L16/Datos!K16,(Datos!L16+Datos!AF16)/(Datos!K16+Datos!AE16)))*11)/factor_trimestre," - ")</f>
        <v>7.5819209039548019</v>
      </c>
      <c r="BI16" s="243">
        <f>IF(ISNUMBER('Resol  Asuntos'!D16/NºAsuntos!G16),'Resol  Asuntos'!D16/NºAsuntos!G16," - ")</f>
        <v>0.1751412429378531</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181.81818181818181</v>
      </c>
      <c r="BZ16" s="1186">
        <f>Datos!EZ16</f>
        <v>0</v>
      </c>
    </row>
    <row r="17" spans="1:78" ht="15" thickBot="1">
      <c r="A17" s="501">
        <f>Datos!AO17</f>
        <v>1</v>
      </c>
      <c r="B17" s="507" t="s">
        <v>396</v>
      </c>
      <c r="C17" s="7" t="str">
        <f>Datos!A17</f>
        <v>Jdos. Violencia contra la mujer</v>
      </c>
      <c r="D17" s="508"/>
      <c r="E17" s="1025">
        <f>IF(ISNUMBER(Datos!AQ17),Datos!AQ17," - ")</f>
        <v>0</v>
      </c>
      <c r="F17" s="225" t="str">
        <f>IF(ISNUMBER(AF17+AB17-I17-L17),AF17+AB17-I17-L17," - ")</f>
        <v xml:space="preserve"> - </v>
      </c>
      <c r="G17" s="333">
        <f>IF(ISNUMBER(IF(D_I="SI",Datos!I17,Datos!I17+Datos!AC17)),IF(D_I="SI",Datos!I17,Datos!I17+Datos!AC17)," - ")</f>
        <v>46</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3</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25</v>
      </c>
      <c r="AC17" s="226">
        <f>IF(ISNUMBER(Datos!Q17),Datos!Q17," - ")</f>
        <v>1</v>
      </c>
      <c r="AD17" s="334"/>
      <c r="AE17" s="484"/>
      <c r="AF17" s="332">
        <f>IF(ISNUMBER(Datos!L17),Datos!L17,"-")</f>
        <v>52</v>
      </c>
      <c r="AG17" s="334"/>
      <c r="AH17" s="334"/>
      <c r="AI17" s="334"/>
      <c r="AJ17" s="334"/>
      <c r="AK17" s="334"/>
      <c r="AL17" s="479"/>
      <c r="AM17" s="335">
        <f>IF(ISNUMBER(Datos!R17),Datos!R17," - ")</f>
        <v>3</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5</v>
      </c>
      <c r="BD17" s="229">
        <f>IF(ISNUMBER(Datos!N17),Datos!N17," - ")</f>
        <v>24</v>
      </c>
      <c r="BE17" s="229" t="str">
        <f>IF(ISNUMBER(Datos!BW17),Datos!BW17," - ")</f>
        <v xml:space="preserve"> - </v>
      </c>
      <c r="BF17" s="228" t="str">
        <f>IF(ISNUMBER(Datos!BX17),Datos!BX17," - ")</f>
        <v xml:space="preserve"> - </v>
      </c>
      <c r="BG17" s="243">
        <f>IF(ISNUMBER(IF(D_I="SI",Datos!K17/Datos!J17,(Datos!K17+Datos!AE17)/(Datos!J17+Datos!AD17))),IF(D_I="SI",Datos!K17/Datos!J17,(Datos!K17+Datos!AE17)/(Datos!J17+Datos!AD17))," - ")</f>
        <v>0.80645161290322576</v>
      </c>
      <c r="BH17" s="260">
        <f>IF(ISNUMBER(((IF(D_I="SI",Datos!L17/Datos!K17,(Datos!L17+Datos!AF17)/(Datos!K17+Datos!AE17)))*11)/factor_trimestre),((IF(D_I="SI",Datos!L17/Datos!K17,(Datos!L17+Datos!AF17)/(Datos!K17+Datos!AE17)))*11)/factor_trimestre," - ")</f>
        <v>4.16</v>
      </c>
      <c r="BI17" s="243">
        <f>IF(ISNUMBER('Resol  Asuntos'!D17/NºAsuntos!G17),'Resol  Asuntos'!D17/NºAsuntos!G17," - ")</f>
        <v>0.2</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290.90909090909093</v>
      </c>
      <c r="BZ17" s="1186">
        <f>Datos!EZ17</f>
        <v>0</v>
      </c>
    </row>
    <row r="18" spans="1:78" ht="15.75" thickTop="1" thickBot="1">
      <c r="A18" s="178"/>
      <c r="B18" s="178"/>
      <c r="C18" s="863" t="str">
        <f>Datos!A18</f>
        <v>TOTAL</v>
      </c>
      <c r="D18" s="897"/>
      <c r="E18" s="1164">
        <f>SUBTOTAL(9,E15:E17)</f>
        <v>2</v>
      </c>
      <c r="F18" s="898">
        <f>SUBTOTAL(9,F15:F17)</f>
        <v>1352</v>
      </c>
      <c r="G18" s="898">
        <f>SUBTOTAL(9,G15:G17)</f>
        <v>1398</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9</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379</v>
      </c>
      <c r="AC18" s="899">
        <f t="shared" si="4"/>
        <v>10</v>
      </c>
      <c r="AD18" s="899">
        <f t="shared" si="4"/>
        <v>0</v>
      </c>
      <c r="AE18" s="899">
        <f t="shared" si="4"/>
        <v>0</v>
      </c>
      <c r="AF18" s="899">
        <f t="shared" si="4"/>
        <v>1394</v>
      </c>
      <c r="AG18" s="899">
        <f t="shared" si="4"/>
        <v>0</v>
      </c>
      <c r="AH18" s="899">
        <f t="shared" si="4"/>
        <v>0</v>
      </c>
      <c r="AI18" s="899">
        <f t="shared" si="4"/>
        <v>0</v>
      </c>
      <c r="AJ18" s="899">
        <f t="shared" si="4"/>
        <v>0</v>
      </c>
      <c r="AK18" s="899">
        <f t="shared" si="4"/>
        <v>0</v>
      </c>
      <c r="AL18" s="899">
        <f t="shared" si="4"/>
        <v>0</v>
      </c>
      <c r="AM18" s="899">
        <f t="shared" si="4"/>
        <v>78</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67</v>
      </c>
      <c r="BD18" s="899">
        <f t="shared" si="4"/>
        <v>251</v>
      </c>
      <c r="BE18" s="899">
        <f t="shared" si="4"/>
        <v>0</v>
      </c>
      <c r="BF18" s="899">
        <f t="shared" si="4"/>
        <v>0</v>
      </c>
      <c r="BG18" s="899">
        <f>IF(ISNUMBER(Datos!K18/Datos!J18),Datos!K18/Datos!J18," - ")</f>
        <v>1.0106666666666666</v>
      </c>
      <c r="BH18" s="903">
        <f>IF(ISNUMBER(((Datos!L18/Datos!K18)*11)/factor_trimestre),((Datos!L18/Datos!K18)*11)/factor_trimestre," - ")</f>
        <v>7.3562005277044866</v>
      </c>
      <c r="BI18" s="899">
        <f>SUBTOTAL(9,BI15:BI17)</f>
        <v>0.37514124293785311</v>
      </c>
      <c r="BJ18" s="899">
        <f>SUBTOTAL(9,BJ15:BJ17)</f>
        <v>0</v>
      </c>
      <c r="BK18" s="899">
        <f>SUBTOTAL(9,BK15:BK17)</f>
        <v>0</v>
      </c>
      <c r="BL18" s="899">
        <f>IF(ISNUMBER((I18-AB18+L18)/(F18)),(I18-AB18+L18)/(F18)," - ")</f>
        <v>-0.28032544378698226</v>
      </c>
      <c r="BM18" s="905">
        <f>IF(ISNUMBER((Datos!P18-Datos!Q18)/(Datos!R18-Datos!P18+Datos!Q18)),(Datos!P18-Datos!Q18)/(Datos!R18-Datos!P18+Datos!Q18)," - ")</f>
        <v>-1.2658227848101266E-2</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1072.7272727272727</v>
      </c>
      <c r="BZ18" s="1186"/>
    </row>
    <row r="19" spans="1:78" ht="18.75" customHeight="1" thickTop="1" thickBot="1">
      <c r="A19" s="172"/>
      <c r="B19" s="172"/>
      <c r="C19" s="818" t="str">
        <f>Datos!A19</f>
        <v>TOTAL JURISDICCIONES</v>
      </c>
      <c r="D19" s="818"/>
      <c r="E19" s="1166">
        <f t="shared" ref="E19:R19" si="6">SUBTOTAL(9,E9:E18)</f>
        <v>4</v>
      </c>
      <c r="F19" s="820">
        <f t="shared" si="6"/>
        <v>1369</v>
      </c>
      <c r="G19" s="820">
        <f t="shared" si="6"/>
        <v>1415</v>
      </c>
      <c r="H19" s="822">
        <f t="shared" si="6"/>
        <v>0</v>
      </c>
      <c r="I19" s="820">
        <f t="shared" si="6"/>
        <v>0</v>
      </c>
      <c r="J19" s="822">
        <f t="shared" si="6"/>
        <v>0</v>
      </c>
      <c r="K19" s="822">
        <f t="shared" si="6"/>
        <v>0</v>
      </c>
      <c r="L19" s="881">
        <f t="shared" si="6"/>
        <v>0</v>
      </c>
      <c r="M19" s="881">
        <f t="shared" si="6"/>
        <v>0</v>
      </c>
      <c r="N19" s="881">
        <f t="shared" si="6"/>
        <v>30</v>
      </c>
      <c r="O19" s="881">
        <f t="shared" si="6"/>
        <v>0</v>
      </c>
      <c r="P19" s="881">
        <f t="shared" si="6"/>
        <v>0</v>
      </c>
      <c r="Q19" s="822">
        <f t="shared" si="6"/>
        <v>103</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381</v>
      </c>
      <c r="AC19" s="821">
        <f t="shared" si="7"/>
        <v>57</v>
      </c>
      <c r="AD19" s="821">
        <f t="shared" si="7"/>
        <v>0</v>
      </c>
      <c r="AE19" s="821">
        <f t="shared" si="7"/>
        <v>0</v>
      </c>
      <c r="AF19" s="828">
        <f t="shared" si="7"/>
        <v>1411</v>
      </c>
      <c r="AG19" s="828">
        <f t="shared" si="7"/>
        <v>0</v>
      </c>
      <c r="AH19" s="828">
        <f t="shared" si="7"/>
        <v>69</v>
      </c>
      <c r="AI19" s="828">
        <f t="shared" si="7"/>
        <v>0</v>
      </c>
      <c r="AJ19" s="821">
        <f t="shared" si="7"/>
        <v>0</v>
      </c>
      <c r="AK19" s="828">
        <f t="shared" si="7"/>
        <v>0</v>
      </c>
      <c r="AL19" s="828">
        <f t="shared" si="7"/>
        <v>0</v>
      </c>
      <c r="AM19" s="828">
        <f t="shared" si="7"/>
        <v>2131</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155</v>
      </c>
      <c r="BD19" s="820">
        <f t="shared" si="7"/>
        <v>405</v>
      </c>
      <c r="BE19" s="820">
        <f t="shared" si="7"/>
        <v>0</v>
      </c>
      <c r="BF19" s="830">
        <f t="shared" si="7"/>
        <v>0</v>
      </c>
      <c r="BG19" s="915">
        <f>IF(ISNUMBER(Datos!K19/Datos!J19),Datos!K19/Datos!J19," - ")</f>
        <v>0.98266666666666669</v>
      </c>
      <c r="BH19" s="915">
        <f>IF(ISNUMBER(((Datos!L19/Datos!K19)*11)/factor_trimestre),((Datos!L19/Datos!K19)*11)/factor_trimestre," - ")</f>
        <v>9.17774762550882</v>
      </c>
      <c r="BI19" s="813">
        <f>IF(ISNUMBER(Datos!J19/Datos!I19),Datos!J19/Datos!I19," - ")</f>
        <v>0.22261798753339271</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-0.27830533235938643</v>
      </c>
      <c r="BM19" s="889">
        <f>IF(ISNUMBER((Datos!P19-Datos!Q19+R19)/(Datos!R19-Datos!P19+Datos!Q19-R19)),(Datos!P19-Datos!Q19+R19)/(Datos!R19-Datos!P19+Datos!Q19-R19)," - ")</f>
        <v>2.2062350119904078E-2</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1946</v>
      </c>
    </row>
    <row r="20" spans="1:78"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566</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8" ht="18.75" hidden="1" customHeight="1" thickTop="1" thickBot="1">
      <c r="A21" s="168"/>
      <c r="B21" s="168"/>
      <c r="C21" s="168" t="s">
        <v>265</v>
      </c>
      <c r="D21" s="482"/>
      <c r="E21" s="517">
        <f>IF(ISNUMBER(STDEV(E8:E18)),STDEV(E8:E18),"-")</f>
        <v>1.0540925533894598</v>
      </c>
      <c r="F21" s="551">
        <f>IF(ISNUMBER(STDEV(F8:F18)),STDEV(F8:F18),"-")</f>
        <v>770.76260936815038</v>
      </c>
      <c r="G21" s="552">
        <f>IF(ISNUMBER(STDEV(G8:G18)),STDEV(G8:G18),"-")</f>
        <v>738.78650502022572</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195.87062056367719</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39.128846988720056</v>
      </c>
      <c r="BD21" s="551"/>
      <c r="BE21" s="551">
        <f>IF(ISNUMBER(STDEV(BE8:BE18)),STDEV(BE8:BE18),"-")</f>
        <v>0</v>
      </c>
      <c r="BF21" s="556">
        <f>IF(ISNUMBER(STDEV(BF8:BF18)),STDEV(BF8:BF18),"-")</f>
        <v>0</v>
      </c>
      <c r="BG21" s="775">
        <f>IF(ISNUMBER(STDEV(BG8:BG18)),STDEV(BG8:BG18),"-")</f>
        <v>8.0702832812706446E-2</v>
      </c>
      <c r="BH21" s="776">
        <f>IF(ISNUMBER(STDEV(BH8:BH18)),STDEV(BH8:BH18),"-")</f>
        <v>4.3935687511850734</v>
      </c>
      <c r="BI21" s="249">
        <f>IF(ISNUMBER(STDEV(BI8:BI18)),STDEV(BI8:BI18),"-")</f>
        <v>8.9877734828712849E-2</v>
      </c>
      <c r="BJ21" s="230" t="str">
        <f>IF(ISNUMBER(BL21/BM21),BL21/BM21," - ")</f>
        <v xml:space="preserve"> - </v>
      </c>
      <c r="BK21" s="575"/>
      <c r="BL21" s="559">
        <f>IF(ISNUMBER(STDEV(BL8:BL18)),STDEV(BL8:BL18),"-")</f>
        <v>0.11503098916013327</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337.88694513865602</v>
      </c>
    </row>
    <row r="22" spans="1:78"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8"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8"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8"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8"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8">
      <c r="C27" s="71"/>
      <c r="D27" s="71"/>
    </row>
    <row r="30" spans="1:78">
      <c r="C30" s="471" t="str">
        <f>Criterios!A4</f>
        <v>Fecha Informe: 29 nov. 2024</v>
      </c>
    </row>
    <row r="32" spans="1:78">
      <c r="C32" s="527"/>
      <c r="D32" s="527"/>
    </row>
  </sheetData>
  <sheetProtection algorithmName="SHA-512" hashValue="8YO6Pol1qCeDOWg+GeVRUm5ApKpDrty4NXcte4pf+RdcBzpq202WwKCwrlJReKRLMhLqe09NLMHJ2fcq9/lNAw==" saltValue="hxQd/Rb/FP8DayPUvIgUaQ==" spinCount="100000" sheet="1" objects="1" scenarios="1"/>
  <mergeCells count="73">
    <mergeCell ref="AD5:AD7"/>
    <mergeCell ref="AH5:AH7"/>
    <mergeCell ref="AI5:AI7"/>
    <mergeCell ref="AK5:AK7"/>
    <mergeCell ref="AL5:AL7"/>
    <mergeCell ref="BT5:BT7"/>
    <mergeCell ref="AM5:AM7"/>
    <mergeCell ref="AN5:AN7"/>
    <mergeCell ref="AO5:AO7"/>
    <mergeCell ref="BS5:BS7"/>
    <mergeCell ref="BQ5:BQ7"/>
    <mergeCell ref="BP5:BP7"/>
    <mergeCell ref="BR5:BR7"/>
    <mergeCell ref="BI5:BI7"/>
    <mergeCell ref="BN5:BN7"/>
    <mergeCell ref="BO5:BO7"/>
    <mergeCell ref="BD5:BD7"/>
    <mergeCell ref="AR5:AR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A5:A7"/>
    <mergeCell ref="C5:C6"/>
    <mergeCell ref="D5:D7"/>
    <mergeCell ref="E5:E7"/>
    <mergeCell ref="F5:F7"/>
    <mergeCell ref="G5:G7"/>
    <mergeCell ref="I5:I7"/>
    <mergeCell ref="L5:L7"/>
    <mergeCell ref="J5:J7"/>
    <mergeCell ref="K5:K7"/>
    <mergeCell ref="H5:H7"/>
    <mergeCell ref="X5:X7"/>
    <mergeCell ref="M5:M7"/>
    <mergeCell ref="Q5:Q7"/>
    <mergeCell ref="O5:O7"/>
    <mergeCell ref="P5:P7"/>
    <mergeCell ref="R5:R7"/>
    <mergeCell ref="U5:U7"/>
    <mergeCell ref="V5:V7"/>
    <mergeCell ref="S5:S7"/>
    <mergeCell ref="T5:T7"/>
    <mergeCell ref="W5:W7"/>
    <mergeCell ref="N5:N7"/>
  </mergeCells>
  <conditionalFormatting sqref="E15:E17 E9:E12">
    <cfRule type="cellIs" dxfId="403" priority="297" stopIfTrue="1" operator="notBetween">
      <formula>$E$25</formula>
      <formula>$E$26</formula>
    </cfRule>
  </conditionalFormatting>
  <conditionalFormatting sqref="F9:F12 F15:F17">
    <cfRule type="expression" dxfId="402" priority="701" stopIfTrue="1">
      <formula>IF(F9&lt;&gt;G9,TRUE,FALSE)</formula>
    </cfRule>
  </conditionalFormatting>
  <conditionalFormatting sqref="F9:F12 F15:F17">
    <cfRule type="cellIs" dxfId="401" priority="296" stopIfTrue="1" operator="notBetween">
      <formula>$F$25</formula>
      <formula>$F$26</formula>
    </cfRule>
  </conditionalFormatting>
  <conditionalFormatting sqref="G10 G15:G17">
    <cfRule type="cellIs" dxfId="400" priority="702" stopIfTrue="1" operator="notBetween">
      <formula>$G$25</formula>
      <formula>$G$26</formula>
    </cfRule>
  </conditionalFormatting>
  <conditionalFormatting sqref="H15:H17 H9:H12">
    <cfRule type="cellIs" dxfId="399" priority="446" stopIfTrue="1" operator="notBetween">
      <formula>$H$25</formula>
      <formula>$H$26</formula>
    </cfRule>
  </conditionalFormatting>
  <conditionalFormatting sqref="I15:I17 I9:I12">
    <cfRule type="cellIs" dxfId="398" priority="716" stopIfTrue="1" operator="notBetween">
      <formula>$I$25</formula>
      <formula>$I$26</formula>
    </cfRule>
  </conditionalFormatting>
  <conditionalFormatting sqref="I11:I12">
    <cfRule type="cellIs" dxfId="397" priority="2447" stopIfTrue="1" operator="greaterThan">
      <formula>#REF!</formula>
    </cfRule>
    <cfRule type="cellIs" dxfId="396" priority="2448" stopIfTrue="1" operator="lessThan">
      <formula>#REF!</formula>
    </cfRule>
  </conditionalFormatting>
  <conditionalFormatting sqref="J9:K12">
    <cfRule type="cellIs" dxfId="395" priority="307" stopIfTrue="1" operator="notBetween">
      <formula>$K$25</formula>
      <formula>$K$26</formula>
    </cfRule>
  </conditionalFormatting>
  <conditionalFormatting sqref="J15:K17">
    <cfRule type="cellIs" dxfId="394" priority="351" stopIfTrue="1" operator="notBetween">
      <formula>$K$25</formula>
      <formula>$K$26</formula>
    </cfRule>
  </conditionalFormatting>
  <conditionalFormatting sqref="L15:L17 L9:L12">
    <cfRule type="cellIs" dxfId="393" priority="452" stopIfTrue="1" operator="notBetween">
      <formula>$L$25</formula>
      <formula>$L$26</formula>
    </cfRule>
  </conditionalFormatting>
  <conditionalFormatting sqref="N15:N17 N9:N12">
    <cfRule type="cellIs" dxfId="392" priority="349" stopIfTrue="1" operator="notBetween">
      <formula>$N$25</formula>
      <formula>$N$26</formula>
    </cfRule>
  </conditionalFormatting>
  <conditionalFormatting sqref="O15:O17 O9:O12">
    <cfRule type="cellIs" dxfId="391" priority="450" stopIfTrue="1" operator="notBetween">
      <formula>$O$25</formula>
      <formula>$O$26</formula>
    </cfRule>
  </conditionalFormatting>
  <conditionalFormatting sqref="Q15:Q17 Q9:Q12">
    <cfRule type="cellIs" dxfId="390" priority="401" stopIfTrue="1" operator="notBetween">
      <formula>$Q$25</formula>
      <formula>$Q$26</formula>
    </cfRule>
  </conditionalFormatting>
  <conditionalFormatting sqref="R15:R17 R9:R12">
    <cfRule type="cellIs" dxfId="389" priority="447" stopIfTrue="1" operator="notBetween">
      <formula>$R$25</formula>
      <formula>$R$26</formula>
    </cfRule>
  </conditionalFormatting>
  <conditionalFormatting sqref="T15:T17 T9:T12">
    <cfRule type="cellIs" dxfId="388" priority="445" stopIfTrue="1" operator="notBetween">
      <formula>$T$25</formula>
      <formula>$T$26</formula>
    </cfRule>
  </conditionalFormatting>
  <conditionalFormatting sqref="U15:U17 U9:U12">
    <cfRule type="cellIs" dxfId="387" priority="444" stopIfTrue="1" operator="notBetween">
      <formula>$U$25</formula>
      <formula>$U$26</formula>
    </cfRule>
  </conditionalFormatting>
  <conditionalFormatting sqref="V15:V17 V9:V12">
    <cfRule type="cellIs" dxfId="386" priority="443" stopIfTrue="1" operator="notBetween">
      <formula>$V$25</formula>
      <formula>$V$26</formula>
    </cfRule>
  </conditionalFormatting>
  <conditionalFormatting sqref="W9">
    <cfRule type="cellIs" dxfId="385" priority="2561" stopIfTrue="1" operator="greaterThan">
      <formula>$BV$9*$E$9</formula>
    </cfRule>
    <cfRule type="cellIs" dxfId="384" priority="2562" stopIfTrue="1" operator="lessThan">
      <formula>$BV$9*$E$9</formula>
    </cfRule>
  </conditionalFormatting>
  <conditionalFormatting sqref="W10">
    <cfRule type="cellIs" dxfId="383" priority="2570" stopIfTrue="1" operator="greaterThan">
      <formula>$BV$10*$E$10</formula>
    </cfRule>
    <cfRule type="cellIs" dxfId="382" priority="2571" stopIfTrue="1" operator="lessThan">
      <formula>$BV$10*$E$10</formula>
    </cfRule>
  </conditionalFormatting>
  <conditionalFormatting sqref="W11">
    <cfRule type="cellIs" dxfId="381" priority="2574" stopIfTrue="1" operator="greaterThan">
      <formula>$BV$11*$E$11</formula>
    </cfRule>
    <cfRule type="cellIs" dxfId="380" priority="2575" stopIfTrue="1" operator="lessThan">
      <formula>$BV$11*$E$11</formula>
    </cfRule>
  </conditionalFormatting>
  <conditionalFormatting sqref="W12">
    <cfRule type="cellIs" dxfId="379" priority="2576" stopIfTrue="1" operator="greaterThan">
      <formula>$BV$12*$E$12</formula>
    </cfRule>
    <cfRule type="cellIs" dxfId="378" priority="2577" stopIfTrue="1" operator="lessThan">
      <formula>$BV$12*$E$12</formula>
    </cfRule>
  </conditionalFormatting>
  <conditionalFormatting sqref="W15">
    <cfRule type="cellIs" dxfId="377" priority="2590" stopIfTrue="1" operator="greaterThan">
      <formula>$BV$15*$E$15</formula>
    </cfRule>
    <cfRule type="cellIs" dxfId="376" priority="2591" stopIfTrue="1" operator="lessThan">
      <formula>$BV$15*$E$15</formula>
    </cfRule>
  </conditionalFormatting>
  <conditionalFormatting sqref="W16">
    <cfRule type="cellIs" dxfId="375" priority="2592" stopIfTrue="1" operator="greaterThan">
      <formula>$BV$16*$E$16</formula>
    </cfRule>
    <cfRule type="cellIs" dxfId="374" priority="2593" stopIfTrue="1" operator="lessThan">
      <formula>$BV$16*$E$16</formula>
    </cfRule>
  </conditionalFormatting>
  <conditionalFormatting sqref="W17">
    <cfRule type="cellIs" dxfId="373" priority="2594" stopIfTrue="1" operator="greaterThan">
      <formula>$BV$17*$E$17</formula>
    </cfRule>
    <cfRule type="cellIs" dxfId="372" priority="2595" stopIfTrue="1" operator="lessThan">
      <formula>$BV$17*$E$17</formula>
    </cfRule>
  </conditionalFormatting>
  <conditionalFormatting sqref="Y15:Y17 Y9:Y12">
    <cfRule type="cellIs" dxfId="371" priority="441" stopIfTrue="1" operator="notBetween">
      <formula>$Y$25</formula>
      <formula>$Y$26</formula>
    </cfRule>
  </conditionalFormatting>
  <conditionalFormatting sqref="Z15:Z17 Z9:Z12">
    <cfRule type="cellIs" dxfId="370" priority="439" stopIfTrue="1" operator="notBetween">
      <formula>$Z$25</formula>
      <formula>$Z$26</formula>
    </cfRule>
  </conditionalFormatting>
  <conditionalFormatting sqref="AA15:AA17 AA9:AA12">
    <cfRule type="cellIs" dxfId="369" priority="438" stopIfTrue="1" operator="notBetween">
      <formula>$AA$25</formula>
      <formula>$AA$26</formula>
    </cfRule>
  </conditionalFormatting>
  <conditionalFormatting sqref="AB15:AB17 AB9:AB12">
    <cfRule type="cellIs" dxfId="368" priority="294" stopIfTrue="1" operator="notBetween">
      <formula>$AB$25</formula>
      <formula>$AB$26</formula>
    </cfRule>
  </conditionalFormatting>
  <conditionalFormatting sqref="AC15:AC17 AC9:AC12">
    <cfRule type="cellIs" dxfId="367" priority="302" stopIfTrue="1" operator="notBetween">
      <formula>$AC$25</formula>
      <formula>$AC$26</formula>
    </cfRule>
  </conditionalFormatting>
  <conditionalFormatting sqref="AD15:AE17 AD9:AE12">
    <cfRule type="cellIs" dxfId="366" priority="312" stopIfTrue="1" operator="notBetween">
      <formula>$AD$25</formula>
      <formula>$AD$26</formula>
    </cfRule>
  </conditionalFormatting>
  <conditionalFormatting sqref="AF15:AF17 AF9:AF12">
    <cfRule type="cellIs" dxfId="365" priority="293" stopIfTrue="1" operator="notBetween">
      <formula>$AF$25</formula>
      <formula>$AF$26</formula>
    </cfRule>
  </conditionalFormatting>
  <conditionalFormatting sqref="AH15:AH17 AH9:AH12">
    <cfRule type="cellIs" dxfId="364" priority="310" stopIfTrue="1" operator="notBetween">
      <formula>$AH$25</formula>
      <formula>$AH$26</formula>
    </cfRule>
  </conditionalFormatting>
  <conditionalFormatting sqref="AI15:AJ17 AI9:AJ12">
    <cfRule type="cellIs" dxfId="363" priority="309" stopIfTrue="1" operator="notBetween">
      <formula>$AI$25</formula>
      <formula>$AI$26</formula>
    </cfRule>
  </conditionalFormatting>
  <conditionalFormatting sqref="AK15:AK17 AK9:AK12">
    <cfRule type="cellIs" dxfId="362" priority="433" stopIfTrue="1" operator="notBetween">
      <formula>$AK$25</formula>
      <formula>$AK$26</formula>
    </cfRule>
  </conditionalFormatting>
  <conditionalFormatting sqref="AL15:AL17 AL9:AL12">
    <cfRule type="cellIs" dxfId="361" priority="432" stopIfTrue="1" operator="notBetween">
      <formula>$AL$25</formula>
      <formula>$AL$26</formula>
    </cfRule>
  </conditionalFormatting>
  <conditionalFormatting sqref="AM15:AM17 AM9:AM12">
    <cfRule type="cellIs" dxfId="360" priority="292" stopIfTrue="1" operator="notBetween">
      <formula>$AM$25</formula>
      <formula>$AM$26</formula>
    </cfRule>
  </conditionalFormatting>
  <conditionalFormatting sqref="AR15:AR17 AR9:AR12">
    <cfRule type="cellIs" dxfId="359" priority="308" stopIfTrue="1" operator="notBetween">
      <formula>$AR$25</formula>
      <formula>$AR$26</formula>
    </cfRule>
  </conditionalFormatting>
  <conditionalFormatting sqref="AS15:AS17 AS9:AS12">
    <cfRule type="cellIs" dxfId="358" priority="291" stopIfTrue="1" operator="notBetween">
      <formula>$AS$25</formula>
      <formula>$AS$26</formula>
    </cfRule>
  </conditionalFormatting>
  <conditionalFormatting sqref="AT15:AT17 AT9:AT12">
    <cfRule type="cellIs" dxfId="357" priority="290" stopIfTrue="1" operator="notBetween">
      <formula>$AT$25</formula>
      <formula>$AT$26</formula>
    </cfRule>
  </conditionalFormatting>
  <conditionalFormatting sqref="AU15:AU17 AU9:AU12">
    <cfRule type="cellIs" dxfId="356" priority="289" stopIfTrue="1" operator="notBetween">
      <formula>$AU$25</formula>
      <formula>$AU$26</formula>
    </cfRule>
  </conditionalFormatting>
  <conditionalFormatting sqref="AV15:AV17 AV9:AV12">
    <cfRule type="cellIs" dxfId="355" priority="288" stopIfTrue="1" operator="notBetween">
      <formula>$AV$25</formula>
      <formula>$AV$26</formula>
    </cfRule>
  </conditionalFormatting>
  <conditionalFormatting sqref="AW15:AW17 AW9:AW12">
    <cfRule type="cellIs" dxfId="354" priority="422" stopIfTrue="1" operator="notBetween">
      <formula>$AW$25</formula>
      <formula>$AW$26</formula>
    </cfRule>
  </conditionalFormatting>
  <conditionalFormatting sqref="AX15:AX17 AX9:AX12">
    <cfRule type="cellIs" dxfId="353" priority="421" stopIfTrue="1" operator="notBetween">
      <formula>$AX$25</formula>
      <formula>$AX$26</formula>
    </cfRule>
  </conditionalFormatting>
  <conditionalFormatting sqref="AY15:AY17 AY9:AY12">
    <cfRule type="cellIs" dxfId="352" priority="420" stopIfTrue="1" operator="notBetween">
      <formula>$AY$25</formula>
      <formula>$AY$26</formula>
    </cfRule>
  </conditionalFormatting>
  <conditionalFormatting sqref="AZ15:AZ17 AZ9:AZ12">
    <cfRule type="cellIs" dxfId="351" priority="419" stopIfTrue="1" operator="notBetween">
      <formula>$AZ$25</formula>
      <formula>$AZ$26</formula>
    </cfRule>
  </conditionalFormatting>
  <conditionalFormatting sqref="BA15:BA17 BA9:BA12">
    <cfRule type="cellIs" dxfId="350" priority="418" stopIfTrue="1" operator="notBetween">
      <formula>$BA$25</formula>
      <formula>$BA$26</formula>
    </cfRule>
  </conditionalFormatting>
  <conditionalFormatting sqref="BB15:BB17 BB9:BB12">
    <cfRule type="cellIs" dxfId="349" priority="417" stopIfTrue="1" operator="notBetween">
      <formula>$BB$25</formula>
      <formula>$BB$26</formula>
    </cfRule>
  </conditionalFormatting>
  <conditionalFormatting sqref="BC15:BC17 BC9:BC12">
    <cfRule type="cellIs" dxfId="348" priority="283" stopIfTrue="1" operator="notBetween">
      <formula>$BC$25</formula>
      <formula>$BC$26</formula>
    </cfRule>
  </conditionalFormatting>
  <conditionalFormatting sqref="BD15:BD17 BD9:BD12">
    <cfRule type="cellIs" dxfId="347" priority="287" stopIfTrue="1" operator="notBetween">
      <formula>$BD$25</formula>
      <formula>$BD$26</formula>
    </cfRule>
  </conditionalFormatting>
  <conditionalFormatting sqref="BE15:BE17 BE9:BE12">
    <cfRule type="cellIs" dxfId="346" priority="414" stopIfTrue="1" operator="notBetween">
      <formula>$BE$25</formula>
      <formula>$BE$26</formula>
    </cfRule>
  </conditionalFormatting>
  <conditionalFormatting sqref="BF15:BF17 BF9:BF12">
    <cfRule type="cellIs" dxfId="345" priority="413" stopIfTrue="1" operator="notBetween">
      <formula>$BF$25</formula>
      <formula>$BF$26</formula>
    </cfRule>
  </conditionalFormatting>
  <conditionalFormatting sqref="BG15:BG17 BG9:BG12">
    <cfRule type="cellIs" dxfId="344" priority="286" stopIfTrue="1" operator="notBetween">
      <formula>$BG$25</formula>
      <formula>$BG$26</formula>
    </cfRule>
  </conditionalFormatting>
  <conditionalFormatting sqref="BH15:BH17 BH9:BH12">
    <cfRule type="cellIs" dxfId="343" priority="285" stopIfTrue="1" operator="notBetween">
      <formula>$BH$25</formula>
      <formula>$BH$26</formula>
    </cfRule>
  </conditionalFormatting>
  <conditionalFormatting sqref="BI15:BI17 BI9:BI12">
    <cfRule type="cellIs" dxfId="342" priority="410" stopIfTrue="1" operator="notBetween">
      <formula>$BI$25</formula>
      <formula>$BI$26</formula>
    </cfRule>
  </conditionalFormatting>
  <conditionalFormatting sqref="BJ15:BJ17 BJ9:BJ12">
    <cfRule type="cellIs" dxfId="341" priority="409" stopIfTrue="1" operator="notBetween">
      <formula>$BJ$25</formula>
      <formula>$BJ$26</formula>
    </cfRule>
  </conditionalFormatting>
  <conditionalFormatting sqref="BK15:BK17 BK9:BK12">
    <cfRule type="cellIs" dxfId="340" priority="408" stopIfTrue="1" operator="notBetween">
      <formula>$BK$25</formula>
      <formula>$BK$26</formula>
    </cfRule>
  </conditionalFormatting>
  <conditionalFormatting sqref="BL15:BL17 BL9:BL12">
    <cfRule type="cellIs" dxfId="339" priority="284" stopIfTrue="1" operator="notBetween">
      <formula>$BL$25</formula>
      <formula>$BL$26</formula>
    </cfRule>
  </conditionalFormatting>
  <conditionalFormatting sqref="BM15:BM17 BM9:BM12">
    <cfRule type="cellIs" dxfId="338" priority="406" stopIfTrue="1" operator="notBetween">
      <formula>$BM$25</formula>
      <formula>$BM$26</formula>
    </cfRule>
  </conditionalFormatting>
  <conditionalFormatting sqref="BN15:BN17 BN9:BN12">
    <cfRule type="cellIs" dxfId="337" priority="405" stopIfTrue="1" operator="notBetween">
      <formula>$BN$25</formula>
      <formula>$BN$26</formula>
    </cfRule>
  </conditionalFormatting>
  <conditionalFormatting sqref="BO15:BO17 BO9:BO12">
    <cfRule type="cellIs" dxfId="336" priority="404" stopIfTrue="1" operator="notBetween">
      <formula>$BO$25</formula>
      <formula>$BO$26</formula>
    </cfRule>
  </conditionalFormatting>
  <conditionalFormatting sqref="BP15:BP17 BP9:BP12">
    <cfRule type="cellIs" dxfId="335" priority="2" stopIfTrue="1" operator="notBetween">
      <formula>$BP$25</formula>
      <formula>$BP$26</formula>
    </cfRule>
  </conditionalFormatting>
  <conditionalFormatting sqref="BQ15:BQ17 BQ9:BQ12">
    <cfRule type="cellIs" dxfId="334" priority="403" stopIfTrue="1" operator="notBetween">
      <formula>$BQ$25</formula>
      <formula>$BQ$26</formula>
    </cfRule>
  </conditionalFormatting>
  <conditionalFormatting sqref="BR15:BR17 BR9:BR12">
    <cfRule type="cellIs" dxfId="333" priority="1" stopIfTrue="1" operator="notBetween">
      <formula>$BR$25</formula>
      <formula>$BR$26</formula>
    </cfRule>
  </conditionalFormatting>
  <conditionalFormatting sqref="BS15:BS17 BS9:BS12">
    <cfRule type="cellIs" dxfId="332" priority="402" stopIfTrue="1" operator="notBetween">
      <formula>$BS$25</formula>
      <formula>$BS$26</formula>
    </cfRule>
  </conditionalFormatting>
  <conditionalFormatting sqref="BT9:BT12 BT15:BT17">
    <cfRule type="expression" dxfId="331"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Z33"/>
  <sheetViews>
    <sheetView topLeftCell="C1" zoomScale="85" zoomScaleNormal="85" workbookViewId="0">
      <selection activeCell="C13" sqref="C13"/>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77" width="11.42578125" style="471"/>
    <col min="78" max="78" width="0" style="1026" hidden="1" customWidth="1"/>
    <col min="79" max="16384" width="11.42578125" style="471"/>
  </cols>
  <sheetData>
    <row r="1" spans="1:78">
      <c r="C1" s="528" t="str">
        <f>Criterios!A9 &amp;"  "&amp;Criterios!B9</f>
        <v>Tribunales de Justicia  ANDALUCIA</v>
      </c>
    </row>
    <row r="2" spans="1:78" ht="16.5" customHeight="1">
      <c r="C2" s="528" t="str">
        <f>Criterios!A10 &amp;"  "&amp;Criterios!B10 &amp; "  " &amp; IF(NOT(ISBLANK(Criterios!A11)),Criterios!A11 &amp;"  "&amp;Criterios!B11,"")</f>
        <v>Provincias  HUELVA  Resumenes por Partidos Judiciales  VALVERDE DEL CAMINO</v>
      </c>
      <c r="D2" s="488"/>
      <c r="E2" s="488"/>
      <c r="F2" s="489"/>
      <c r="G2" s="490"/>
      <c r="H2" s="489"/>
      <c r="I2" s="489"/>
      <c r="J2" s="262"/>
      <c r="K2" s="604"/>
      <c r="L2" s="604"/>
      <c r="M2" s="604"/>
      <c r="N2" s="489"/>
      <c r="O2" s="489"/>
      <c r="P2" s="491"/>
      <c r="Q2" s="491"/>
      <c r="R2" s="582"/>
      <c r="S2" s="491"/>
      <c r="V2" s="604"/>
    </row>
    <row r="3" spans="1:78" ht="25.5" customHeight="1">
      <c r="C3" s="1112"/>
      <c r="D3" s="493"/>
      <c r="E3" s="493"/>
      <c r="G3" s="490"/>
      <c r="H3" s="489"/>
      <c r="I3" s="489"/>
      <c r="K3" s="604"/>
      <c r="L3" s="604"/>
      <c r="M3" s="604"/>
      <c r="N3" s="489"/>
      <c r="O3" s="489"/>
      <c r="P3" s="491"/>
      <c r="Q3" s="491"/>
      <c r="R3" s="582"/>
      <c r="BZ3" s="471"/>
    </row>
    <row r="4" spans="1:78" ht="18.75" customHeight="1" thickBot="1">
      <c r="C4" s="1113"/>
      <c r="D4" s="494"/>
      <c r="E4" s="494"/>
      <c r="F4" s="495"/>
      <c r="G4" s="495"/>
      <c r="H4" s="495"/>
      <c r="I4" s="495"/>
      <c r="J4" s="330"/>
      <c r="K4" s="604"/>
      <c r="L4" s="604"/>
      <c r="M4" s="604"/>
      <c r="N4" s="495"/>
      <c r="O4" s="495"/>
      <c r="P4" s="491"/>
      <c r="Q4" s="491"/>
      <c r="R4" s="582"/>
      <c r="S4" s="491"/>
      <c r="V4" s="604"/>
      <c r="BU4" s="495"/>
      <c r="BZ4" s="471"/>
    </row>
    <row r="5" spans="1:78" ht="15.75" customHeight="1">
      <c r="A5" s="1263" t="s">
        <v>351</v>
      </c>
      <c r="B5" s="272"/>
      <c r="C5" s="1533" t="str">
        <f>"Año:  " &amp;Criterios!B$5 &amp; "          Trimestre   " &amp;Criterios!D$5 &amp; " al " &amp;Criterios!D$6</f>
        <v>Año:  2024          Trimestre   3 al 3</v>
      </c>
      <c r="D5" s="1535" t="s">
        <v>376</v>
      </c>
      <c r="E5" s="1492" t="s">
        <v>560</v>
      </c>
      <c r="F5" s="1503" t="s">
        <v>406</v>
      </c>
      <c r="G5" s="1492" t="s">
        <v>128</v>
      </c>
      <c r="H5" s="1492" t="s">
        <v>590</v>
      </c>
      <c r="I5" s="1492" t="s">
        <v>561</v>
      </c>
      <c r="J5" s="1492" t="s">
        <v>683</v>
      </c>
      <c r="K5" s="1492" t="s">
        <v>562</v>
      </c>
      <c r="L5" s="1492" t="s">
        <v>588</v>
      </c>
      <c r="M5" s="1492" t="s">
        <v>684</v>
      </c>
      <c r="N5" s="1492" t="s">
        <v>587</v>
      </c>
      <c r="O5" s="1492" t="s">
        <v>614</v>
      </c>
      <c r="P5" s="1498" t="s">
        <v>676</v>
      </c>
      <c r="Q5" s="1498" t="s">
        <v>678</v>
      </c>
      <c r="R5" s="1492" t="s">
        <v>594</v>
      </c>
      <c r="S5" s="1492" t="s">
        <v>563</v>
      </c>
      <c r="T5" s="1492" t="s">
        <v>770</v>
      </c>
      <c r="U5" s="1492" t="s">
        <v>771</v>
      </c>
      <c r="V5" s="1512" t="s">
        <v>667</v>
      </c>
      <c r="W5" s="1509" t="s">
        <v>576</v>
      </c>
      <c r="X5" s="1527" t="s">
        <v>577</v>
      </c>
      <c r="Y5" s="1530" t="s">
        <v>595</v>
      </c>
      <c r="Z5" s="1530" t="s">
        <v>615</v>
      </c>
      <c r="AA5" s="1492" t="s">
        <v>567</v>
      </c>
      <c r="AB5" s="1492" t="s">
        <v>578</v>
      </c>
      <c r="AC5" s="1492" t="s">
        <v>579</v>
      </c>
      <c r="AD5" s="1492" t="s">
        <v>533</v>
      </c>
      <c r="AE5" s="1492" t="s">
        <v>685</v>
      </c>
      <c r="AF5" s="1492" t="s">
        <v>182</v>
      </c>
      <c r="AG5" s="1492" t="s">
        <v>580</v>
      </c>
      <c r="AH5" s="1492" t="s">
        <v>568</v>
      </c>
      <c r="AI5" s="1492" t="s">
        <v>569</v>
      </c>
      <c r="AJ5" s="1492" t="s">
        <v>581</v>
      </c>
      <c r="AK5" s="1492" t="s">
        <v>582</v>
      </c>
      <c r="AL5" s="1492" t="s">
        <v>583</v>
      </c>
      <c r="AM5" s="1524" t="s">
        <v>584</v>
      </c>
      <c r="AN5" s="1492" t="s">
        <v>249</v>
      </c>
      <c r="AO5" s="1492" t="s">
        <v>571</v>
      </c>
      <c r="AP5" s="1492" t="s">
        <v>572</v>
      </c>
      <c r="AQ5" s="1492" t="s">
        <v>596</v>
      </c>
      <c r="AR5" s="1492" t="s">
        <v>597</v>
      </c>
      <c r="AS5" s="1492" t="s">
        <v>599</v>
      </c>
      <c r="AT5" s="1492" t="s">
        <v>592</v>
      </c>
      <c r="AU5" s="1492" t="s">
        <v>838</v>
      </c>
      <c r="AV5" s="1492" t="s">
        <v>333</v>
      </c>
      <c r="AW5" s="1492" t="s">
        <v>585</v>
      </c>
      <c r="AX5" s="1492" t="s">
        <v>538</v>
      </c>
      <c r="BU5" s="1492" t="s">
        <v>772</v>
      </c>
      <c r="BZ5" s="471"/>
    </row>
    <row r="6" spans="1:78" ht="21.75" customHeight="1">
      <c r="A6" s="1264"/>
      <c r="B6" s="273"/>
      <c r="C6" s="1534"/>
      <c r="D6" s="1536"/>
      <c r="E6" s="1493"/>
      <c r="F6" s="1504"/>
      <c r="G6" s="1493"/>
      <c r="H6" s="1493"/>
      <c r="I6" s="1493"/>
      <c r="J6" s="1493"/>
      <c r="K6" s="1493"/>
      <c r="L6" s="1493"/>
      <c r="M6" s="1493"/>
      <c r="N6" s="1493"/>
      <c r="O6" s="1493"/>
      <c r="P6" s="1499"/>
      <c r="Q6" s="1499"/>
      <c r="R6" s="1493"/>
      <c r="S6" s="1493"/>
      <c r="T6" s="1493"/>
      <c r="U6" s="1493"/>
      <c r="V6" s="1513"/>
      <c r="W6" s="1510"/>
      <c r="X6" s="1528"/>
      <c r="Y6" s="1531"/>
      <c r="Z6" s="1531"/>
      <c r="AA6" s="1493"/>
      <c r="AB6" s="1493"/>
      <c r="AC6" s="1493"/>
      <c r="AD6" s="1493"/>
      <c r="AE6" s="1493"/>
      <c r="AF6" s="1493"/>
      <c r="AG6" s="1493"/>
      <c r="AH6" s="1493"/>
      <c r="AI6" s="1493"/>
      <c r="AJ6" s="1493"/>
      <c r="AK6" s="1493"/>
      <c r="AL6" s="1493"/>
      <c r="AM6" s="1525"/>
      <c r="AN6" s="1493"/>
      <c r="AO6" s="1493"/>
      <c r="AP6" s="1493"/>
      <c r="AQ6" s="1493"/>
      <c r="AR6" s="1493"/>
      <c r="AS6" s="1493"/>
      <c r="AT6" s="1493"/>
      <c r="AU6" s="1493"/>
      <c r="AV6" s="1493"/>
      <c r="AW6" s="1493"/>
      <c r="AX6" s="1493"/>
      <c r="BU6" s="1493"/>
      <c r="BZ6" s="471"/>
    </row>
    <row r="7" spans="1:78" ht="38.25" customHeight="1" thickBot="1">
      <c r="A7" s="1265"/>
      <c r="B7" s="274"/>
      <c r="C7" s="529" t="str">
        <f>Datos!A7</f>
        <v>COMPETENCIAS</v>
      </c>
      <c r="D7" s="1537"/>
      <c r="E7" s="1494"/>
      <c r="F7" s="1505"/>
      <c r="G7" s="1494"/>
      <c r="H7" s="1494"/>
      <c r="I7" s="1494"/>
      <c r="J7" s="1494"/>
      <c r="K7" s="1494"/>
      <c r="L7" s="1494"/>
      <c r="M7" s="1494"/>
      <c r="N7" s="1494"/>
      <c r="O7" s="1494"/>
      <c r="P7" s="1500"/>
      <c r="Q7" s="1500"/>
      <c r="R7" s="1494"/>
      <c r="S7" s="1494"/>
      <c r="T7" s="1494"/>
      <c r="U7" s="1494"/>
      <c r="V7" s="1514"/>
      <c r="W7" s="1511"/>
      <c r="X7" s="1529"/>
      <c r="Y7" s="1532"/>
      <c r="Z7" s="1532"/>
      <c r="AA7" s="1494"/>
      <c r="AB7" s="1494"/>
      <c r="AC7" s="1494"/>
      <c r="AD7" s="1494"/>
      <c r="AE7" s="1494"/>
      <c r="AF7" s="1494"/>
      <c r="AG7" s="1494"/>
      <c r="AH7" s="1494"/>
      <c r="AI7" s="1494"/>
      <c r="AJ7" s="1494"/>
      <c r="AK7" s="1494"/>
      <c r="AL7" s="1494"/>
      <c r="AM7" s="1526"/>
      <c r="AN7" s="1494"/>
      <c r="AO7" s="1494"/>
      <c r="AP7" s="1494"/>
      <c r="AQ7" s="1494"/>
      <c r="AR7" s="1494"/>
      <c r="AS7" s="1494"/>
      <c r="AT7" s="1494"/>
      <c r="AU7" s="1494"/>
      <c r="AV7" s="1494"/>
      <c r="AW7" s="1494"/>
      <c r="AX7" s="1494"/>
      <c r="BU7" s="1494"/>
      <c r="BZ7" s="471"/>
    </row>
    <row r="8" spans="1:78"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8" ht="25.5">
      <c r="A9" s="501" t="s">
        <v>598</v>
      </c>
      <c r="B9" s="501" t="s">
        <v>246</v>
      </c>
      <c r="C9" s="160" t="str">
        <f>Datos!A9</f>
        <v xml:space="preserve">Jdos. 1ª Instancia   </v>
      </c>
      <c r="D9" s="502"/>
      <c r="E9" s="1168">
        <f>IF(ISNUMBER(Datos!AQ9),Datos!AQ9," - ")</f>
        <v>0</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0</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t="str">
        <f>IF(ISNUMBER(Datos!Q9),Datos!Q9," - ")</f>
        <v xml:space="preserve"> - </v>
      </c>
      <c r="AA9" s="332" t="str">
        <f>IF(ISNUMBER(IF(J_V="SI",Datos!L9,Datos!L9+Datos!AB9)-IF(Monitorios="SI",Datos!CD9,0)),
                          IF(J_V="SI",Datos!L9,Datos!L9+Datos!AB9)-IF(Monitorios="SI",Datos!CD9,0),
                          " - ")</f>
        <v xml:space="preserve"> - </v>
      </c>
      <c r="AB9" s="334"/>
      <c r="AC9" s="334"/>
      <c r="AD9" s="484"/>
      <c r="AE9" s="484" t="str">
        <f>IF(ISNUMBER(Datos!R9),Datos!R9," - ")</f>
        <v xml:space="preserve"> - </v>
      </c>
      <c r="AF9" s="229" t="str">
        <f>IF(ISNUMBER(Datos!BV9),Datos!BV9," - ")</f>
        <v xml:space="preserve"> - </v>
      </c>
      <c r="AG9" s="225" t="str">
        <f>IF(ISNUMBER(Datos!DV9),Datos!DV9," - ")</f>
        <v xml:space="preserve"> - </v>
      </c>
      <c r="AH9" s="298"/>
      <c r="AI9" s="227"/>
      <c r="AJ9" s="225" t="str">
        <f>IF(ISNUMBER(Datos!M9),Datos!M9," - ")</f>
        <v xml:space="preserve"> - </v>
      </c>
      <c r="AK9" s="229" t="str">
        <f>IF(ISNUMBER(Datos!N9),Datos!N9," - ")</f>
        <v xml:space="preserve"> - </v>
      </c>
      <c r="AL9" s="229" t="str">
        <f>IF(ISNUMBER(Datos!BW9),Datos!BW9," - ")</f>
        <v xml:space="preserve"> - </v>
      </c>
      <c r="AM9" s="228" t="str">
        <f>IF(ISNUMBER(Datos!BX9),Datos!BX9," - ")</f>
        <v xml:space="preserve"> - </v>
      </c>
      <c r="AN9" s="243"/>
      <c r="AO9" s="260" t="str">
        <f>IF(ISNUMBER(((NºAsuntos!I9/NºAsuntos!G9)*11)/factor_trimestre),((NºAsuntos!I9/NºAsuntos!G9)*11)/factor_trimestre," - ")</f>
        <v xml:space="preserve"> - </v>
      </c>
      <c r="AP9" s="230" t="str">
        <f>IF(ISNUMBER(Datos!CI9/Datos!CJ9),Datos!CI9/Datos!CJ9," - ")</f>
        <v xml:space="preserve"> - </v>
      </c>
      <c r="AQ9" s="230" t="str">
        <f>IF(ISNUMBER((J9-Y9+K9)/(F9)),(J9-Y9+K9)/(F9)," - ")</f>
        <v xml:space="preserve"> - </v>
      </c>
      <c r="AR9" s="230" t="str">
        <f>IF(ISNUMBER((Datos!P9-Datos!Q9+Datos!DE9)/(Datos!R9-Datos!P9+Datos!Q9-Datos!DE9)),(Datos!P9-Datos!Q9+Datos!DE9)/(Datos!R9-Datos!P9+Datos!Q9-Datos!DE9)," - ")</f>
        <v xml:space="preserve"> - </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218.18181818181819</v>
      </c>
      <c r="BZ9" s="1186">
        <f>Datos!EZ9</f>
        <v>0</v>
      </c>
    </row>
    <row r="10" spans="1:78" ht="14.25">
      <c r="A10" s="501">
        <f>Datos!AO10</f>
        <v>1</v>
      </c>
      <c r="B10" s="507" t="s">
        <v>246</v>
      </c>
      <c r="C10" s="7" t="str">
        <f>Datos!A10</f>
        <v>Jdos. Violencia contra la mujer</v>
      </c>
      <c r="D10" s="508"/>
      <c r="E10" s="1168">
        <f>IF(ISNUMBER(Datos!AQ10),Datos!AQ10," - ")</f>
        <v>0</v>
      </c>
      <c r="F10" s="225">
        <f>IF(ISNUMBER(Datos!L10+Datos!K10-Datos!J10),Datos!L10+Datos!K10-Datos!J10," - ")</f>
        <v>17</v>
      </c>
      <c r="G10" s="225">
        <f>IF(ISNUMBER(Datos!I10),Datos!I10," - ")</f>
        <v>17</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0</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2</v>
      </c>
      <c r="Z10" s="619">
        <f>IF(ISNUMBER(Datos!Q10),Datos!Q10," - ")</f>
        <v>0</v>
      </c>
      <c r="AA10" s="332">
        <f>IF(ISNUMBER(Datos!L10),Datos!L10,"-")</f>
        <v>17</v>
      </c>
      <c r="AB10" s="334"/>
      <c r="AC10" s="334"/>
      <c r="AD10" s="484"/>
      <c r="AE10" s="484">
        <f>IF(ISNUMBER(Datos!R10),Datos!R10," - ")</f>
        <v>0</v>
      </c>
      <c r="AF10" s="229" t="str">
        <f>IF(ISNUMBER(Datos!BV10),Datos!BV10," - ")</f>
        <v xml:space="preserve"> - </v>
      </c>
      <c r="AG10" s="225" t="str">
        <f>IF(ISNUMBER(Datos!DV10),Datos!DV10," - ")</f>
        <v xml:space="preserve"> - </v>
      </c>
      <c r="AH10" s="298"/>
      <c r="AI10" s="227"/>
      <c r="AJ10" s="225">
        <f>IF(ISNUMBER(Datos!M10),Datos!M10," - ")</f>
        <v>1</v>
      </c>
      <c r="AK10" s="229">
        <f>IF(ISNUMBER(Datos!N10),Datos!N10," - ")</f>
        <v>1</v>
      </c>
      <c r="AL10" s="229" t="str">
        <f>IF(ISNUMBER(Datos!BW10),Datos!BW10," - ")</f>
        <v xml:space="preserve"> - </v>
      </c>
      <c r="AM10" s="228" t="str">
        <f>IF(ISNUMBER(Datos!BX10),Datos!BX10," - ")</f>
        <v xml:space="preserve"> - </v>
      </c>
      <c r="AN10" s="243"/>
      <c r="AO10" s="260">
        <f>IF(ISNUMBER(((NºAsuntos!I10/NºAsuntos!G10)*11)/factor_trimestre),((NºAsuntos!I10/NºAsuntos!G10)*11)/factor_trimestre," - ")</f>
        <v>17</v>
      </c>
      <c r="AP10" s="230" t="str">
        <f>IF(ISNUMBER(Datos!CI10/Datos!CJ10),Datos!CI10/Datos!CJ10," - ")</f>
        <v xml:space="preserve"> - </v>
      </c>
      <c r="AQ10" s="230" t="str">
        <f>IF(ISNUMBER((I10-Y10+K10)/(F10)),(I10-Y10+K10)/(F10)," - ")</f>
        <v xml:space="preserve"> - </v>
      </c>
      <c r="AR10" s="230" t="str">
        <f>IF(ISNUMBER((Datos!P10-Datos!Q10+Datos!DE10)/(Datos!R10-Datos!P10+Datos!Q10-Datos!DE10)),(Datos!P10-Datos!Q10+Datos!DE10)/(Datos!R10-Datos!P10+Datos!Q10-Datos!DE10)," - ")</f>
        <v xml:space="preserve"> - </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290.90909090909093</v>
      </c>
      <c r="BZ10" s="1186">
        <f>Datos!EZ10</f>
        <v>0</v>
      </c>
    </row>
    <row r="11" spans="1:78" ht="14.25">
      <c r="A11" s="501">
        <f>Datos!AO11</f>
        <v>0</v>
      </c>
      <c r="B11" s="507" t="s">
        <v>246</v>
      </c>
      <c r="C11" s="7" t="str">
        <f>Datos!A11</f>
        <v xml:space="preserve">Jdos. Familia                                   </v>
      </c>
      <c r="D11" s="508"/>
      <c r="E11" s="1168">
        <f>IF(ISNUMBER(Datos!AQ11),Datos!AQ11," - ")</f>
        <v>0</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0</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t="str">
        <f>IF(ISNUMBER(Datos!Q11),Datos!Q11," - ")</f>
        <v xml:space="preserve"> - </v>
      </c>
      <c r="AA11" s="332" t="str">
        <f>IF(ISNUMBER(IF(J_V="SI",Datos!L11,Datos!L11+Datos!AB11)-IF(Monitorios="SI",Datos!CD11,0)),
                          IF(J_V="SI",Datos!L11,Datos!L11+Datos!AB11)-IF(Monitorios="SI",Datos!CD11,0),
                          " - ")</f>
        <v xml:space="preserve"> - </v>
      </c>
      <c r="AB11" s="334"/>
      <c r="AC11" s="334"/>
      <c r="AD11" s="484"/>
      <c r="AE11" s="484" t="str">
        <f>IF(ISNUMBER(Datos!R11),Datos!R11," - ")</f>
        <v xml:space="preserve"> - </v>
      </c>
      <c r="AF11" s="229" t="str">
        <f>IF(ISNUMBER(Datos!BV11),Datos!BV11," - ")</f>
        <v xml:space="preserve"> - </v>
      </c>
      <c r="AG11" s="225" t="str">
        <f>IF(ISNUMBER(Datos!DV11),Datos!DV11," - ")</f>
        <v xml:space="preserve"> - </v>
      </c>
      <c r="AH11" s="298"/>
      <c r="AI11" s="227"/>
      <c r="AJ11" s="225" t="str">
        <f>IF(ISNUMBER(Datos!M11),Datos!M11," - ")</f>
        <v xml:space="preserve"> - </v>
      </c>
      <c r="AK11" s="229" t="str">
        <f>IF(ISNUMBER(Datos!N11),Datos!N11," - ")</f>
        <v xml:space="preserve"> - </v>
      </c>
      <c r="AL11" s="229" t="str">
        <f>IF(ISNUMBER(Datos!BW11),Datos!BW11," - ")</f>
        <v xml:space="preserve"> - </v>
      </c>
      <c r="AM11" s="228" t="str">
        <f>IF(ISNUMBER(Datos!BX11),Datos!BX11," - ")</f>
        <v xml:space="preserve"> - </v>
      </c>
      <c r="AN11" s="243"/>
      <c r="AO11" s="260" t="str">
        <f>IF(ISNUMBER(((NºAsuntos!I11/NºAsuntos!G11)*11)/factor_trimestre),((NºAsuntos!I11/NºAsuntos!G11)*11)/factor_trimestre," - ")</f>
        <v xml:space="preserve"> - </v>
      </c>
      <c r="AP11" s="230" t="str">
        <f>IF(ISNUMBER(Datos!CI11/Datos!CJ11),Datos!CI11/Datos!CJ11," - ")</f>
        <v xml:space="preserve"> - </v>
      </c>
      <c r="AQ11" s="230" t="str">
        <f>IF(ISNUMBER((I11-Y11+K11)/(F11)),(I11-Y11+K11)/(F11)," - ")</f>
        <v xml:space="preserve"> - </v>
      </c>
      <c r="AR11" s="230" t="str">
        <f>IF(ISNUMBER((Datos!P11-Datos!Q11+Datos!DE11)/(Datos!R11-Datos!P11+Datos!Q11-Datos!DE11)),(Datos!P11-Datos!Q11+Datos!DE11)/(Datos!R11-Datos!P11+Datos!Q11-Datos!DE11)," - ")</f>
        <v xml:space="preserve"> - </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240.54545454545453</v>
      </c>
      <c r="BZ11" s="1186">
        <f>Datos!EZ11</f>
        <v>0</v>
      </c>
    </row>
    <row r="12" spans="1:78" ht="15" thickBot="1">
      <c r="A12" s="501">
        <f>Datos!AO12</f>
        <v>2</v>
      </c>
      <c r="B12" s="507" t="s">
        <v>246</v>
      </c>
      <c r="C12" s="7" t="str">
        <f>Datos!A12</f>
        <v xml:space="preserve">Jdos. 1ª Instª. e Instr.                        </v>
      </c>
      <c r="D12" s="508"/>
      <c r="E12" s="1168">
        <f>IF(ISNUMBER(Datos!AQ12),Datos!AQ12," - ")</f>
        <v>2</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94</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f>IF(ISNUMBER(Datos!Q12),Datos!Q12," - ")</f>
        <v>47</v>
      </c>
      <c r="AA12" s="332" t="str">
        <f>IF(ISNUMBER(IF(J_V="SI",Datos!L12,Datos!L12+Datos!AB12)-IF(Monitorios="SI",Datos!CD12,0)),
                          IF(J_V="SI",Datos!L12,Datos!L12+Datos!AB12)-IF(Monitorios="SI",Datos!CD12,0),
                          " - ")</f>
        <v xml:space="preserve"> - </v>
      </c>
      <c r="AB12" s="334"/>
      <c r="AC12" s="334"/>
      <c r="AD12" s="484"/>
      <c r="AE12" s="484">
        <f>IF(ISNUMBER(Datos!R12),Datos!R12," - ")</f>
        <v>2053</v>
      </c>
      <c r="AF12" s="229" t="str">
        <f>IF(ISNUMBER(Datos!BV12),Datos!BV12," - ")</f>
        <v xml:space="preserve"> - </v>
      </c>
      <c r="AG12" s="225" t="str">
        <f>IF(ISNUMBER(Datos!DV12),Datos!DV12," - ")</f>
        <v xml:space="preserve"> - </v>
      </c>
      <c r="AH12" s="298"/>
      <c r="AI12" s="227"/>
      <c r="AJ12" s="225">
        <f>IF(ISNUMBER(Datos!M12),Datos!M12," - ")</f>
        <v>87</v>
      </c>
      <c r="AK12" s="229">
        <f>IF(ISNUMBER(Datos!N12),Datos!N12," - ")</f>
        <v>153</v>
      </c>
      <c r="AL12" s="229" t="str">
        <f>IF(ISNUMBER(Datos!BW12),Datos!BW12," - ")</f>
        <v xml:space="preserve"> - </v>
      </c>
      <c r="AM12" s="228" t="str">
        <f>IF(ISNUMBER(Datos!BX12),Datos!BX12," - ")</f>
        <v xml:space="preserve"> - </v>
      </c>
      <c r="AN12" s="243"/>
      <c r="AO12" s="260">
        <f>IF(ISNUMBER(((NºAsuntos!I12/NºAsuntos!G12)*11)/factor_trimestre),((NºAsuntos!I12/NºAsuntos!G12)*11)/factor_trimestre," - ")</f>
        <v>10.488431876606684</v>
      </c>
      <c r="AP12" s="230" t="str">
        <f>IF(ISNUMBER(Datos!CI12/Datos!CJ12),Datos!CI12/Datos!CJ12," - ")</f>
        <v xml:space="preserve"> - </v>
      </c>
      <c r="AQ12" s="230" t="str">
        <f>IF(ISNUMBER((I12-Y12+K12)/(F12)),(I12-Y12+K12)/(F12)," - ")</f>
        <v xml:space="preserve"> - </v>
      </c>
      <c r="AR12" s="230">
        <f>IF(ISNUMBER((Datos!P12-Datos!Q12+Datos!DE12)/(Datos!R12-Datos!P12+Datos!Q12-Datos!DE12)),(Datos!P12-Datos!Q12+Datos!DE12)/(Datos!R12-Datos!P12+Datos!Q12-Datos!DE12)," - ")</f>
        <v>2.3429710867397806E-2</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123.63636363636364</v>
      </c>
      <c r="BZ12" s="1186">
        <f>Datos!EZ12</f>
        <v>0</v>
      </c>
    </row>
    <row r="13" spans="1:78" ht="15.75" thickTop="1" thickBot="1">
      <c r="A13" s="178"/>
      <c r="B13" s="178"/>
      <c r="C13" s="863" t="str">
        <f>Datos!A13</f>
        <v>TOTAL</v>
      </c>
      <c r="D13" s="863"/>
      <c r="E13" s="898">
        <f>SUBTOTAL(9,E8:E12)</f>
        <v>2</v>
      </c>
      <c r="F13" s="898">
        <f>SUBTOTAL(9,F8:F12)</f>
        <v>17</v>
      </c>
      <c r="G13" s="898">
        <f>SUBTOTAL(9,G8:G12)</f>
        <v>17</v>
      </c>
      <c r="H13" s="908"/>
      <c r="I13" s="898">
        <f t="shared" ref="I13:N13" si="0">SUBTOTAL(9,I8:I12)</f>
        <v>0</v>
      </c>
      <c r="J13" s="867">
        <f t="shared" si="0"/>
        <v>0</v>
      </c>
      <c r="K13" s="908">
        <f t="shared" si="0"/>
        <v>0</v>
      </c>
      <c r="L13" s="908">
        <f t="shared" si="0"/>
        <v>0</v>
      </c>
      <c r="M13" s="908">
        <f t="shared" si="0"/>
        <v>0</v>
      </c>
      <c r="N13" s="908">
        <f t="shared" si="0"/>
        <v>94</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2</v>
      </c>
      <c r="Z13" s="907">
        <f t="shared" si="2"/>
        <v>47</v>
      </c>
      <c r="AA13" s="900">
        <f t="shared" si="2"/>
        <v>17</v>
      </c>
      <c r="AB13" s="900">
        <f t="shared" si="2"/>
        <v>0</v>
      </c>
      <c r="AC13" s="900">
        <f t="shared" si="2"/>
        <v>0</v>
      </c>
      <c r="AD13" s="900">
        <f t="shared" si="2"/>
        <v>0</v>
      </c>
      <c r="AE13" s="900">
        <f t="shared" si="2"/>
        <v>2053</v>
      </c>
      <c r="AF13" s="908">
        <f t="shared" si="2"/>
        <v>0</v>
      </c>
      <c r="AG13" s="908">
        <f t="shared" si="2"/>
        <v>0</v>
      </c>
      <c r="AH13" s="908">
        <f t="shared" si="2"/>
        <v>0</v>
      </c>
      <c r="AI13" s="908">
        <f t="shared" si="2"/>
        <v>0</v>
      </c>
      <c r="AJ13" s="908">
        <f t="shared" si="2"/>
        <v>88</v>
      </c>
      <c r="AK13" s="908">
        <f t="shared" si="2"/>
        <v>154</v>
      </c>
      <c r="AL13" s="908">
        <f t="shared" si="2"/>
        <v>0</v>
      </c>
      <c r="AM13" s="908">
        <f t="shared" si="2"/>
        <v>0</v>
      </c>
      <c r="AN13" s="908">
        <f t="shared" si="2"/>
        <v>0</v>
      </c>
      <c r="AO13" s="904">
        <f>IF(ISNUMBER(((NºAsuntos!I13/NºAsuntos!G13)*11)/factor_trimestre),((NºAsuntos!I13/NºAsuntos!G13)*11)/factor_trimestre," - ")</f>
        <v>10.521739130434783</v>
      </c>
      <c r="AP13" s="910" t="str">
        <f>IF(ISNUMBER(Datos!CI13/Datos!CJ13),Datos!CI13/Datos!CJ13," - ")</f>
        <v xml:space="preserve"> - </v>
      </c>
      <c r="AQ13" s="928">
        <f t="shared" ref="AQ13:AV13" si="3">SUBTOTAL(9,AQ9:AQ12)</f>
        <v>0</v>
      </c>
      <c r="AR13" s="928">
        <f t="shared" si="3"/>
        <v>2.3429710867397806E-2</v>
      </c>
      <c r="AS13" s="908">
        <f t="shared" si="3"/>
        <v>0</v>
      </c>
      <c r="AT13" s="908">
        <f t="shared" si="3"/>
        <v>0</v>
      </c>
      <c r="AU13" s="908">
        <f t="shared" si="3"/>
        <v>0</v>
      </c>
      <c r="AV13" s="908">
        <f t="shared" si="3"/>
        <v>0</v>
      </c>
      <c r="AW13" s="930"/>
      <c r="AX13" s="931"/>
      <c r="BU13" s="899"/>
      <c r="BZ13" s="1186"/>
    </row>
    <row r="14" spans="1:78"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c r="BZ14" s="1186">
        <f>Datos!EZ14</f>
        <v>0</v>
      </c>
    </row>
    <row r="15" spans="1:78" ht="14.25">
      <c r="A15" s="501">
        <f>Datos!AO15</f>
        <v>0</v>
      </c>
      <c r="B15" s="507" t="s">
        <v>396</v>
      </c>
      <c r="C15" s="160" t="str">
        <f>Datos!A15</f>
        <v xml:space="preserve">Jdos. Instrucción                               </v>
      </c>
      <c r="D15" s="502"/>
      <c r="E15" s="1168">
        <f>IF(ISNUMBER(Datos!AQ15),Datos!AQ15," - ")</f>
        <v>0</v>
      </c>
      <c r="F15" s="333" t="str">
        <f>IF(ISNUMBER(AA15+Y15-Datos!J15-K15),AA15+Y15-Datos!J15-K15," - ")</f>
        <v xml:space="preserve"> - </v>
      </c>
      <c r="G15" s="225" t="str">
        <f>IF(ISNUMBER(IF(D_I="SI",Datos!I15,Datos!I15+Datos!AC15)),IF(D_I="SI",Datos!I15,Datos!I15+Datos!AC15)," - ")</f>
        <v xml:space="preserve"> - </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0</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t="str">
        <f>IF(ISNUMBER(IF(D_I="SI",Datos!K15,Datos!K15+Datos!AE15)),IF(D_I="SI",Datos!K15,Datos!K15+Datos!AE15)," - ")</f>
        <v xml:space="preserve"> - </v>
      </c>
      <c r="Z15" s="619" t="str">
        <f>IF(ISNUMBER(Datos!Q15),Datos!Q15," - ")</f>
        <v xml:space="preserve"> - </v>
      </c>
      <c r="AA15" s="332" t="str">
        <f>IF(ISNUMBER(IF(D_I="SI",Datos!L15,Datos!L15+Datos!AF15)),IF(D_I="SI",Datos!L15,Datos!L15+Datos!AF15)," - ")</f>
        <v xml:space="preserve"> - </v>
      </c>
      <c r="AB15" s="334"/>
      <c r="AC15" s="334"/>
      <c r="AD15" s="484"/>
      <c r="AE15" s="484" t="str">
        <f>IF(ISNUMBER(Datos!R15),Datos!R15," - ")</f>
        <v xml:space="preserve"> - </v>
      </c>
      <c r="AF15" s="229" t="str">
        <f>IF(ISNUMBER(Datos!BV15),Datos!BV15," - ")</f>
        <v xml:space="preserve"> - </v>
      </c>
      <c r="AG15" s="225"/>
      <c r="AH15" s="298"/>
      <c r="AI15" s="227"/>
      <c r="AJ15" s="225" t="str">
        <f>IF(ISNUMBER(Datos!M15),Datos!M15," - ")</f>
        <v xml:space="preserve"> - </v>
      </c>
      <c r="AK15" s="229" t="str">
        <f>IF(ISNUMBER(Datos!N15),Datos!N15," - ")</f>
        <v xml:space="preserve"> - </v>
      </c>
      <c r="AL15" s="229" t="str">
        <f>IF(ISNUMBER(Datos!BW15),Datos!BW15," - ")</f>
        <v xml:space="preserve"> - </v>
      </c>
      <c r="AM15" s="228" t="str">
        <f>IF(ISNUMBER(Datos!BX15),Datos!BX15," - ")</f>
        <v xml:space="preserve"> - </v>
      </c>
      <c r="AN15" s="243"/>
      <c r="AO15" s="260" t="str">
        <f>IF(ISNUMBER(((NºAsuntos!I15/NºAsuntos!G15)*11)/factor_trimestre),((NºAsuntos!I15/NºAsuntos!G15)*11)/factor_trimestre," - ")</f>
        <v xml:space="preserve"> - </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600</v>
      </c>
      <c r="BZ15" s="1186">
        <f>Datos!EZ15</f>
        <v>0</v>
      </c>
    </row>
    <row r="16" spans="1:78" ht="14.25">
      <c r="A16" s="501">
        <f>Datos!AO16</f>
        <v>2</v>
      </c>
      <c r="B16" s="507" t="s">
        <v>396</v>
      </c>
      <c r="C16" s="160" t="str">
        <f>Datos!A16</f>
        <v xml:space="preserve">Jdos. 1ª Instª. e Instr.                        </v>
      </c>
      <c r="D16" s="502"/>
      <c r="E16" s="1168">
        <f>IF(ISNUMBER(Datos!AQ16),Datos!AQ16," - ")</f>
        <v>2</v>
      </c>
      <c r="F16" s="333">
        <f>IF(ISNUMBER(AA16+Y16-Datos!J16-K15),AA16+Y16-Datos!J16-K15," - ")</f>
        <v>1352</v>
      </c>
      <c r="G16" s="225">
        <f>IF(ISNUMBER(IF(D_I="SI",Datos!I16,Datos!I16+Datos!AC16)),IF(D_I="SI",Datos!I16,Datos!I16+Datos!AC16)," - ")</f>
        <v>1352</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6</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f>IF(ISNUMBER(IF(D_I="SI",Datos!K16,Datos!K16+Datos!AE16)),IF(D_I="SI",Datos!K16,Datos!K16+Datos!AE16)," - ")</f>
        <v>354</v>
      </c>
      <c r="Z16" s="619">
        <f>IF(ISNUMBER(Datos!Q16),Datos!Q16," - ")</f>
        <v>9</v>
      </c>
      <c r="AA16" s="332">
        <f>IF(ISNUMBER(IF(D_I="SI",Datos!L16,Datos!L16+Datos!AF16)),IF(D_I="SI",Datos!L16,Datos!L16+Datos!AF16)," - ")</f>
        <v>1342</v>
      </c>
      <c r="AB16" s="334"/>
      <c r="AC16" s="334"/>
      <c r="AD16" s="484"/>
      <c r="AE16" s="484">
        <f>IF(ISNUMBER(Datos!R16),Datos!R16," - ")</f>
        <v>75</v>
      </c>
      <c r="AF16" s="229" t="str">
        <f>IF(ISNUMBER(Datos!BV16),Datos!BV16," - ")</f>
        <v xml:space="preserve"> - </v>
      </c>
      <c r="AG16" s="225"/>
      <c r="AH16" s="298"/>
      <c r="AI16" s="227"/>
      <c r="AJ16" s="225">
        <f>IF(ISNUMBER(Datos!M16),Datos!M16," - ")</f>
        <v>62</v>
      </c>
      <c r="AK16" s="229">
        <f>IF(ISNUMBER(Datos!N16),Datos!N16," - ")</f>
        <v>227</v>
      </c>
      <c r="AL16" s="229" t="str">
        <f>IF(ISNUMBER(Datos!BW16),Datos!BW16," - ")</f>
        <v xml:space="preserve"> - </v>
      </c>
      <c r="AM16" s="228" t="str">
        <f>IF(ISNUMBER(Datos!BX16),Datos!BX16," - ")</f>
        <v xml:space="preserve"> - </v>
      </c>
      <c r="AN16" s="243"/>
      <c r="AO16" s="260">
        <f>IF(ISNUMBER(((NºAsuntos!I16/NºAsuntos!G16)*11)/factor_trimestre),((NºAsuntos!I16/NºAsuntos!G16)*11)/factor_trimestre," - ")</f>
        <v>7.5819209039548019</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181.81818181818181</v>
      </c>
      <c r="BZ16" s="1186">
        <f>Datos!EZ16</f>
        <v>0</v>
      </c>
    </row>
    <row r="17" spans="1:78" ht="15" thickBot="1">
      <c r="A17" s="501">
        <f>Datos!AO17</f>
        <v>1</v>
      </c>
      <c r="B17" s="507" t="s">
        <v>396</v>
      </c>
      <c r="C17" s="7" t="str">
        <f>Datos!A17</f>
        <v>Jdos. Violencia contra la mujer</v>
      </c>
      <c r="D17" s="508"/>
      <c r="E17" s="1168">
        <f>IF(ISNUMBER(Datos!AQ17),Datos!AQ17," - ")</f>
        <v>0</v>
      </c>
      <c r="F17" s="225" t="str">
        <f>IF(ISNUMBER(AA17+Y17-I17-K17),AA17+Y17-I17-K17," - ")</f>
        <v xml:space="preserve"> - </v>
      </c>
      <c r="G17" s="523">
        <f>IF(ISNUMBER(IF(D_I="SI",Datos!I17,Datos!I17+Datos!AC17)),IF(D_I="SI",Datos!I17,Datos!I17+Datos!AC17)," - ")</f>
        <v>46</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3</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25</v>
      </c>
      <c r="Z17" s="619">
        <f>IF(ISNUMBER(Datos!Q17),Datos!Q17," - ")</f>
        <v>1</v>
      </c>
      <c r="AA17" s="332">
        <f>IF(ISNUMBER(Datos!L17),Datos!L17,"-")</f>
        <v>52</v>
      </c>
      <c r="AB17" s="334"/>
      <c r="AC17" s="334"/>
      <c r="AD17" s="484"/>
      <c r="AE17" s="484">
        <f>IF(ISNUMBER(Datos!R17),Datos!R17," - ")</f>
        <v>3</v>
      </c>
      <c r="AF17" s="229" t="str">
        <f>IF(ISNUMBER(Datos!BV17),Datos!BV17," - ")</f>
        <v xml:space="preserve"> - </v>
      </c>
      <c r="AG17" s="225" t="str">
        <f>IF(ISNUMBER(Datos!DV17),Datos!DV17," - ")</f>
        <v xml:space="preserve"> - </v>
      </c>
      <c r="AH17" s="298"/>
      <c r="AI17" s="227"/>
      <c r="AJ17" s="225">
        <f>IF(ISNUMBER(Datos!M17),Datos!M17," - ")</f>
        <v>5</v>
      </c>
      <c r="AK17" s="229">
        <f>IF(ISNUMBER(Datos!N17),Datos!N17," - ")</f>
        <v>24</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4.16</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290.90909090909093</v>
      </c>
      <c r="BZ17" s="1186">
        <f>Datos!EZ17</f>
        <v>0</v>
      </c>
    </row>
    <row r="18" spans="1:78" ht="15.75" thickTop="1" thickBot="1">
      <c r="A18" s="178"/>
      <c r="B18" s="178"/>
      <c r="C18" s="863" t="str">
        <f>Datos!A18</f>
        <v>TOTAL</v>
      </c>
      <c r="D18" s="863"/>
      <c r="E18" s="1169">
        <f>SUBTOTAL(9,E15:E17)</f>
        <v>2</v>
      </c>
      <c r="F18" s="898">
        <f>SUBTOTAL(9,F15:F17)</f>
        <v>1352</v>
      </c>
      <c r="G18" s="898">
        <f>SUBTOTAL(9,G15:G17)</f>
        <v>1398</v>
      </c>
      <c r="H18" s="932">
        <f>SUBTOTAL(9,H15:H17)</f>
        <v>0</v>
      </c>
      <c r="I18" s="911">
        <f>SUBTOTAL(9,I15:I17)</f>
        <v>0</v>
      </c>
      <c r="J18" s="867">
        <f>SUBTOTAL(9,J14:J17)</f>
        <v>0</v>
      </c>
      <c r="K18" s="932">
        <f t="shared" ref="K18:S18" si="4">SUBTOTAL(9,K15:K17)</f>
        <v>0</v>
      </c>
      <c r="L18" s="932">
        <f t="shared" si="4"/>
        <v>0</v>
      </c>
      <c r="M18" s="932">
        <f t="shared" si="4"/>
        <v>0</v>
      </c>
      <c r="N18" s="932">
        <f t="shared" si="4"/>
        <v>9</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379</v>
      </c>
      <c r="Z18" s="932">
        <f t="shared" si="5"/>
        <v>10</v>
      </c>
      <c r="AA18" s="932">
        <f t="shared" si="5"/>
        <v>1394</v>
      </c>
      <c r="AB18" s="932">
        <f t="shared" si="5"/>
        <v>0</v>
      </c>
      <c r="AC18" s="932">
        <f t="shared" si="5"/>
        <v>0</v>
      </c>
      <c r="AD18" s="932">
        <f t="shared" si="5"/>
        <v>0</v>
      </c>
      <c r="AE18" s="932">
        <f t="shared" si="5"/>
        <v>78</v>
      </c>
      <c r="AF18" s="932">
        <f t="shared" si="5"/>
        <v>0</v>
      </c>
      <c r="AG18" s="932">
        <f t="shared" si="5"/>
        <v>0</v>
      </c>
      <c r="AH18" s="932">
        <f t="shared" si="5"/>
        <v>0</v>
      </c>
      <c r="AI18" s="932">
        <f t="shared" si="5"/>
        <v>0</v>
      </c>
      <c r="AJ18" s="932">
        <f t="shared" si="5"/>
        <v>67</v>
      </c>
      <c r="AK18" s="932">
        <f t="shared" si="5"/>
        <v>251</v>
      </c>
      <c r="AL18" s="932">
        <f t="shared" si="5"/>
        <v>0</v>
      </c>
      <c r="AM18" s="932">
        <f t="shared" si="5"/>
        <v>0</v>
      </c>
      <c r="AN18" s="932">
        <f t="shared" si="5"/>
        <v>0</v>
      </c>
      <c r="AO18" s="934">
        <f>IF(ISNUMBER(((NºAsuntos!I18/NºAsuntos!G18)*11)/factor_trimestre),((NºAsuntos!I18/NºAsuntos!G18)*11)/factor_trimestre," - ")</f>
        <v>7.3562005277044866</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c r="BZ18" s="1186"/>
    </row>
    <row r="19" spans="1:78" ht="18.75" customHeight="1" thickTop="1" thickBot="1">
      <c r="A19" s="172"/>
      <c r="B19" s="172"/>
      <c r="C19" s="818" t="str">
        <f>Datos!A19</f>
        <v>TOTAL JURISDICCIONES</v>
      </c>
      <c r="D19" s="819"/>
      <c r="E19" s="1170">
        <f t="shared" ref="E19:O19" si="7">SUBTOTAL(9,E9:E18)</f>
        <v>4</v>
      </c>
      <c r="F19" s="820">
        <f t="shared" si="7"/>
        <v>1369</v>
      </c>
      <c r="G19" s="820">
        <f t="shared" si="7"/>
        <v>1415</v>
      </c>
      <c r="H19" s="821">
        <f t="shared" si="7"/>
        <v>0</v>
      </c>
      <c r="I19" s="820">
        <f t="shared" si="7"/>
        <v>0</v>
      </c>
      <c r="J19" s="822">
        <f t="shared" si="7"/>
        <v>0</v>
      </c>
      <c r="K19" s="820">
        <f t="shared" si="7"/>
        <v>0</v>
      </c>
      <c r="L19" s="823">
        <f t="shared" si="7"/>
        <v>0</v>
      </c>
      <c r="M19" s="820">
        <f t="shared" si="7"/>
        <v>0</v>
      </c>
      <c r="N19" s="821">
        <f t="shared" si="7"/>
        <v>103</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381</v>
      </c>
      <c r="Z19" s="827">
        <f t="shared" si="8"/>
        <v>57</v>
      </c>
      <c r="AA19" s="828">
        <f t="shared" si="8"/>
        <v>1411</v>
      </c>
      <c r="AB19" s="828">
        <f t="shared" si="8"/>
        <v>0</v>
      </c>
      <c r="AC19" s="828">
        <f t="shared" si="8"/>
        <v>0</v>
      </c>
      <c r="AD19" s="829">
        <f t="shared" si="8"/>
        <v>0</v>
      </c>
      <c r="AE19" s="829">
        <f t="shared" si="8"/>
        <v>2131</v>
      </c>
      <c r="AF19" s="830">
        <f t="shared" si="8"/>
        <v>0</v>
      </c>
      <c r="AG19" s="831">
        <f t="shared" si="8"/>
        <v>0</v>
      </c>
      <c r="AH19" s="832">
        <f t="shared" si="8"/>
        <v>0</v>
      </c>
      <c r="AI19" s="830">
        <f t="shared" si="8"/>
        <v>0</v>
      </c>
      <c r="AJ19" s="820">
        <f t="shared" si="8"/>
        <v>155</v>
      </c>
      <c r="AK19" s="820">
        <f t="shared" si="8"/>
        <v>405</v>
      </c>
      <c r="AL19" s="820">
        <f t="shared" si="8"/>
        <v>0</v>
      </c>
      <c r="AM19" s="833">
        <f t="shared" si="8"/>
        <v>0</v>
      </c>
      <c r="AN19" s="823">
        <f>IF(ISNUMBER(Datos!K19/Datos!J19),Datos!K19/Datos!J19," - ")</f>
        <v>0.98266666666666669</v>
      </c>
      <c r="AO19" s="823">
        <f>IF(ISNUMBER(FIND("06",Criterios!A8,1)),(IF(ISNUMBER(((Datos!R19/Datos!Q19)*11)/factor_trimestre),((Datos!R19/Datos!Q19)*11)/factor_trimestre," - ")),(IF(ISNUMBER(((Datos!L19/Datos!K19)*11)/factor_trimestre),((Datos!L19/Datos!K19)*11)/factor_trimestre," - ")))</f>
        <v>9.17774762550882</v>
      </c>
      <c r="AP19" s="834" t="str">
        <f>IF(ISNUMBER(Datos!CI19/Datos!CJ19),Datos!CI19/Datos!CJ19," - ")</f>
        <v xml:space="preserve"> - </v>
      </c>
      <c r="AQ19" s="834">
        <f>IF(OR(ISNUMBER(FIND("01",Criterios!A8,1)),ISNUMBER(FIND("02",Criterios!A8,1)),ISNUMBER(FIND("03",Criterios!A8,1)),ISNUMBER(FIND("04",Criterios!A8,1))),(J19-Y19+K19)/(F19-K19),(I19-Y19+K19)/(F19-K19))</f>
        <v>-0.27830533235938643</v>
      </c>
      <c r="AR19" s="834">
        <f>IF(ISNUMBER((Datos!P19-Datos!Q19+O19)/(Datos!R19-Datos!P19+Datos!Q19-O19)),(Datos!P19-Datos!Q19+O19)/(Datos!R19-Datos!P19+Datos!Q19-O19)," - ")</f>
        <v>2.2062350119904078E-2</v>
      </c>
      <c r="AS19" s="835">
        <f>SUBTOTAL(9,AS9:AS18)</f>
        <v>0</v>
      </c>
      <c r="AT19" s="835">
        <f>SUBTOTAL(9,AT9:AT18)</f>
        <v>0</v>
      </c>
      <c r="AU19" s="835">
        <f>SUBTOTAL(9,AU9:AU18)</f>
        <v>0</v>
      </c>
      <c r="AV19" s="835">
        <f>SUBTOTAL(9,AV9:AV18)</f>
        <v>0</v>
      </c>
      <c r="AW19" s="836"/>
      <c r="AX19" s="837"/>
      <c r="BU19" s="919"/>
    </row>
    <row r="20" spans="1:78"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566</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8" ht="18.75" hidden="1" customHeight="1" thickTop="1" thickBot="1">
      <c r="A21" s="168"/>
      <c r="B21" s="168"/>
      <c r="C21" s="530" t="s">
        <v>265</v>
      </c>
      <c r="D21" s="341"/>
      <c r="E21" s="580"/>
      <c r="F21" s="252">
        <f>IF(ISNUMBER(STDEV(F8:F18)),STDEV(F8:F18),"-")</f>
        <v>770.76260936815038</v>
      </c>
      <c r="G21" s="552">
        <f>IF(ISNUMBER(STDEV(G8:G18)),STDEV(G8:G18),"-")</f>
        <v>738.78650502022572</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39.128846988720056</v>
      </c>
      <c r="AK21" s="252"/>
      <c r="AL21" s="252">
        <f>IF(ISNUMBER(STDEV(AL8:AL18)),STDEV(AL8:AL18),"-")</f>
        <v>0</v>
      </c>
      <c r="AM21" s="254">
        <f>IF(ISNUMBER(STDEV(AM8:AM18)),STDEV(AM8:AM18),"-")</f>
        <v>0</v>
      </c>
      <c r="AN21" s="539">
        <f>IF(ISNUMBER(STDEV(AN8:AN18)),STDEV(AN8:AN18),"-")</f>
        <v>0</v>
      </c>
      <c r="AO21" s="540">
        <f>IF(ISNUMBER(STDEV(AO8:AO18)),STDEV(AO8:AO18),"-")</f>
        <v>4.3602636956818843</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153.88167612790645</v>
      </c>
    </row>
    <row r="22" spans="1:78"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8"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8"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8"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8"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8">
      <c r="C27" s="534"/>
      <c r="D27" s="71"/>
      <c r="E27" s="71"/>
    </row>
    <row r="30" spans="1:78">
      <c r="C30" s="535" t="str">
        <f>Criterios!A4</f>
        <v>Fecha Informe: 29 nov. 2024</v>
      </c>
    </row>
    <row r="32" spans="1:78" ht="13.5" thickBot="1">
      <c r="C32" s="536"/>
      <c r="D32" s="527"/>
      <c r="E32" s="527"/>
    </row>
    <row r="33" spans="12:12" ht="15" thickBot="1">
      <c r="L33" s="546"/>
    </row>
  </sheetData>
  <sheetProtection algorithmName="SHA-512" hashValue="6QHQ/OA7bgdrOuNHvXvEymKQSlraVAJu+YYRb/e+U9HK6xdQdV3HYyJB0nCZah0bquTmAr2MTgLPJiWFmwTbdQ==" saltValue="hxjvssnpHAV1o15qYhWACQ==" spinCount="100000" sheet="1" objects="1" scenarios="1"/>
  <mergeCells count="50">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 ref="Y5:Y7"/>
    <mergeCell ref="AL5:AL7"/>
    <mergeCell ref="AB5:AB7"/>
    <mergeCell ref="V5:V7"/>
    <mergeCell ref="T5:T7"/>
    <mergeCell ref="AE5:AE7"/>
    <mergeCell ref="AI5:AI7"/>
    <mergeCell ref="Z5:Z7"/>
    <mergeCell ref="AH5:AH7"/>
    <mergeCell ref="AC5:AC7"/>
    <mergeCell ref="AD5:AD7"/>
    <mergeCell ref="AJ5:AJ7"/>
    <mergeCell ref="S5:S7"/>
    <mergeCell ref="J5:J7"/>
    <mergeCell ref="K5:K7"/>
    <mergeCell ref="L5:L7"/>
    <mergeCell ref="N5:N7"/>
    <mergeCell ref="R5:R7"/>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s>
  <conditionalFormatting sqref="F15:F17 F9:F12">
    <cfRule type="cellIs" dxfId="330" priority="2257" stopIfTrue="1" operator="notBetween">
      <formula>$F$25</formula>
      <formula>$F$26</formula>
    </cfRule>
  </conditionalFormatting>
  <conditionalFormatting sqref="F21:F24 F9:F18">
    <cfRule type="expression" dxfId="329" priority="393" stopIfTrue="1">
      <formula>IF(F9&lt;&gt;G9,TRUE,FALSE)</formula>
    </cfRule>
  </conditionalFormatting>
  <conditionalFormatting sqref="G10">
    <cfRule type="cellIs" dxfId="328" priority="535" stopIfTrue="1" operator="notBetween">
      <formula>$G$25</formula>
      <formula>$G$26</formula>
    </cfRule>
  </conditionalFormatting>
  <conditionalFormatting sqref="G13 G18">
    <cfRule type="expression" dxfId="327" priority="2259" stopIfTrue="1">
      <formula>IF($G$9&lt;&gt;$F$9,TRUE,FALSE)</formula>
    </cfRule>
  </conditionalFormatting>
  <conditionalFormatting sqref="H15:H17 H9:H12">
    <cfRule type="cellIs" dxfId="326" priority="418" stopIfTrue="1" operator="notBetween">
      <formula>$H$25</formula>
      <formula>$H$26</formula>
    </cfRule>
  </conditionalFormatting>
  <conditionalFormatting sqref="I9:I10 I15:I17">
    <cfRule type="cellIs" dxfId="325" priority="466" stopIfTrue="1" operator="notBetween">
      <formula>$I$25</formula>
      <formula>$I$26</formula>
    </cfRule>
  </conditionalFormatting>
  <conditionalFormatting sqref="I11:I12">
    <cfRule type="cellIs" dxfId="324" priority="2551" stopIfTrue="1" operator="greaterThan">
      <formula>#REF!</formula>
    </cfRule>
    <cfRule type="cellIs" dxfId="323" priority="2552" stopIfTrue="1" operator="lessThan">
      <formula>#REF!</formula>
    </cfRule>
  </conditionalFormatting>
  <conditionalFormatting sqref="K15:K17 K9:K12">
    <cfRule type="cellIs" dxfId="322" priority="465" stopIfTrue="1" operator="notBetween">
      <formula>$K$25</formula>
      <formula>$K$26</formula>
    </cfRule>
  </conditionalFormatting>
  <conditionalFormatting sqref="L15:L17">
    <cfRule type="cellIs" dxfId="321" priority="526" stopIfTrue="1" operator="notBetween">
      <formula>$L$25</formula>
      <formula>$L$26</formula>
    </cfRule>
  </conditionalFormatting>
  <conditionalFormatting sqref="M15:M17 M9:M12">
    <cfRule type="cellIs" dxfId="320" priority="464" stopIfTrue="1" operator="notBetween">
      <formula>$M$25</formula>
      <formula>$M$26</formula>
    </cfRule>
  </conditionalFormatting>
  <conditionalFormatting sqref="N15:N17 N9:N12">
    <cfRule type="cellIs" dxfId="319" priority="421" stopIfTrue="1" operator="notBetween">
      <formula>$N$25</formula>
      <formula>$N$26</formula>
    </cfRule>
  </conditionalFormatting>
  <conditionalFormatting sqref="O15:O17 O9:O12">
    <cfRule type="cellIs" dxfId="318" priority="420" stopIfTrue="1" operator="notBetween">
      <formula>$O$25</formula>
      <formula>$O$26</formula>
    </cfRule>
  </conditionalFormatting>
  <conditionalFormatting sqref="P15:P17 P9:P12">
    <cfRule type="cellIs" dxfId="317" priority="416" stopIfTrue="1" operator="notBetween">
      <formula>$P$25</formula>
      <formula>$P$26</formula>
    </cfRule>
  </conditionalFormatting>
  <conditionalFormatting sqref="Q15:Q17 Q9:Q12">
    <cfRule type="cellIs" dxfId="316" priority="415" stopIfTrue="1" operator="notBetween">
      <formula>$Q$25</formula>
      <formula>$Q$26</formula>
    </cfRule>
  </conditionalFormatting>
  <conditionalFormatting sqref="R9:R12">
    <cfRule type="cellIs" dxfId="315" priority="61" stopIfTrue="1" operator="notBetween">
      <formula>$R$25</formula>
      <formula>$R$26</formula>
    </cfRule>
  </conditionalFormatting>
  <conditionalFormatting sqref="R15:R17">
    <cfRule type="cellIs" dxfId="314" priority="57" stopIfTrue="1" operator="notBetween">
      <formula>$R$25</formula>
      <formula>$R$26</formula>
    </cfRule>
  </conditionalFormatting>
  <conditionalFormatting sqref="S9:S12">
    <cfRule type="cellIs" dxfId="313" priority="60" stopIfTrue="1" operator="notBetween">
      <formula>$S$25</formula>
      <formula>$S$26</formula>
    </cfRule>
  </conditionalFormatting>
  <conditionalFormatting sqref="S15:S17">
    <cfRule type="cellIs" dxfId="312" priority="56" stopIfTrue="1" operator="notBetween">
      <formula>$S$25</formula>
      <formula>$S$26</formula>
    </cfRule>
  </conditionalFormatting>
  <conditionalFormatting sqref="T9">
    <cfRule type="cellIs" dxfId="311" priority="167" stopIfTrue="1" operator="greaterThan">
      <formula>$BU$9</formula>
    </cfRule>
    <cfRule type="cellIs" dxfId="310" priority="168" stopIfTrue="1" operator="lessThan">
      <formula>$BU$9</formula>
    </cfRule>
  </conditionalFormatting>
  <conditionalFormatting sqref="T10">
    <cfRule type="cellIs" dxfId="309" priority="163" stopIfTrue="1" operator="greaterThan">
      <formula>$BU$10</formula>
    </cfRule>
    <cfRule type="cellIs" dxfId="308" priority="164" stopIfTrue="1" operator="lessThan">
      <formula>$BU$10</formula>
    </cfRule>
  </conditionalFormatting>
  <conditionalFormatting sqref="T11">
    <cfRule type="cellIs" dxfId="307" priority="159" stopIfTrue="1" operator="greaterThan">
      <formula>$BU$11</formula>
    </cfRule>
    <cfRule type="cellIs" dxfId="306" priority="160" stopIfTrue="1" operator="lessThan">
      <formula>$BU$11</formula>
    </cfRule>
  </conditionalFormatting>
  <conditionalFormatting sqref="T12">
    <cfRule type="cellIs" dxfId="305" priority="157" stopIfTrue="1" operator="greaterThan">
      <formula>$BU$12</formula>
    </cfRule>
    <cfRule type="cellIs" dxfId="304" priority="158" stopIfTrue="1" operator="lessThan">
      <formula>$BU$12</formula>
    </cfRule>
  </conditionalFormatting>
  <conditionalFormatting sqref="T15">
    <cfRule type="cellIs" dxfId="303" priority="143" stopIfTrue="1" operator="greaterThan">
      <formula>$BU$15</formula>
    </cfRule>
    <cfRule type="cellIs" dxfId="302" priority="144" stopIfTrue="1" operator="lessThan">
      <formula>$BU$15</formula>
    </cfRule>
  </conditionalFormatting>
  <conditionalFormatting sqref="T16">
    <cfRule type="cellIs" dxfId="301" priority="141" stopIfTrue="1" operator="greaterThan">
      <formula>$BU$16</formula>
    </cfRule>
    <cfRule type="cellIs" dxfId="300" priority="142" stopIfTrue="1" operator="lessThan">
      <formula>$BU$16</formula>
    </cfRule>
  </conditionalFormatting>
  <conditionalFormatting sqref="T17">
    <cfRule type="cellIs" dxfId="299" priority="139" stopIfTrue="1" operator="greaterThan">
      <formula>$BU$17</formula>
    </cfRule>
    <cfRule type="cellIs" dxfId="298" priority="140" stopIfTrue="1" operator="lessThan">
      <formula>$BU$17</formula>
    </cfRule>
  </conditionalFormatting>
  <conditionalFormatting sqref="V15:V17 V9:V12">
    <cfRule type="cellIs" dxfId="297" priority="351" stopIfTrue="1" operator="notBetween">
      <formula>$V$25</formula>
      <formula>$V$26</formula>
    </cfRule>
  </conditionalFormatting>
  <conditionalFormatting sqref="W15:W17 W9:W12">
    <cfRule type="cellIs" dxfId="296" priority="445" stopIfTrue="1" operator="notBetween">
      <formula>$W$25</formula>
      <formula>$W$26</formula>
    </cfRule>
  </conditionalFormatting>
  <conditionalFormatting sqref="X15:X17 X9:X12">
    <cfRule type="cellIs" dxfId="295" priority="444" stopIfTrue="1" operator="notBetween">
      <formula>$X$25</formula>
      <formula>$X$26</formula>
    </cfRule>
  </conditionalFormatting>
  <conditionalFormatting sqref="Y15:Y17 Y9:Y12">
    <cfRule type="cellIs" dxfId="294" priority="443" stopIfTrue="1" operator="notBetween">
      <formula>$Y$25</formula>
      <formula>$Y$26</formula>
    </cfRule>
  </conditionalFormatting>
  <conditionalFormatting sqref="Z15:Z17 Z9:Z12">
    <cfRule type="cellIs" dxfId="293" priority="442" stopIfTrue="1" operator="notBetween">
      <formula>$Z$25</formula>
      <formula>$Z$26</formula>
    </cfRule>
  </conditionalFormatting>
  <conditionalFormatting sqref="AA15:AA17 AA9:AA12">
    <cfRule type="cellIs" dxfId="292" priority="388" stopIfTrue="1" operator="notBetween">
      <formula>$AA$25</formula>
      <formula>$AA$26</formula>
    </cfRule>
  </conditionalFormatting>
  <conditionalFormatting sqref="AB15:AB17 AB9:AB12">
    <cfRule type="cellIs" dxfId="291" priority="441" stopIfTrue="1" operator="notBetween">
      <formula>$AB$25</formula>
      <formula>$AB$26</formula>
    </cfRule>
  </conditionalFormatting>
  <conditionalFormatting sqref="AC15:AC17 AC9:AC12">
    <cfRule type="cellIs" dxfId="290" priority="440" stopIfTrue="1" operator="notBetween">
      <formula>$AC$25</formula>
      <formula>$AC$26</formula>
    </cfRule>
  </conditionalFormatting>
  <conditionalFormatting sqref="AD15:AD17 AD9:AD12">
    <cfRule type="cellIs" dxfId="289" priority="438" stopIfTrue="1" operator="notBetween">
      <formula>$AD$25</formula>
      <formula>$AD$26</formula>
    </cfRule>
  </conditionalFormatting>
  <conditionalFormatting sqref="AE15:AE17 AE9:AE12">
    <cfRule type="cellIs" dxfId="288" priority="437" stopIfTrue="1" operator="notBetween">
      <formula>$AE$25</formula>
      <formula>$AE$26</formula>
    </cfRule>
  </conditionalFormatting>
  <conditionalFormatting sqref="AF15:AF17 AF9:AF12">
    <cfRule type="cellIs" dxfId="287" priority="436" stopIfTrue="1" operator="notBetween">
      <formula>$AF$25</formula>
      <formula>$AF$26</formula>
    </cfRule>
  </conditionalFormatting>
  <conditionalFormatting sqref="AG15:AG17 AG9:AG12">
    <cfRule type="cellIs" dxfId="286" priority="435" stopIfTrue="1" operator="notBetween">
      <formula>$AG$25</formula>
      <formula>$AG$26</formula>
    </cfRule>
  </conditionalFormatting>
  <conditionalFormatting sqref="AH15:AH17 AH9:AH12">
    <cfRule type="cellIs" dxfId="285" priority="434" stopIfTrue="1" operator="notBetween">
      <formula>$AH$25</formula>
      <formula>$AH$26</formula>
    </cfRule>
  </conditionalFormatting>
  <conditionalFormatting sqref="AI15:AI17 AI9:AI12">
    <cfRule type="cellIs" dxfId="284" priority="433" stopIfTrue="1" operator="notBetween">
      <formula>$AI$25</formula>
      <formula>$AI$26</formula>
    </cfRule>
  </conditionalFormatting>
  <conditionalFormatting sqref="AJ15:AJ17 AJ9:AJ12">
    <cfRule type="cellIs" dxfId="283" priority="432" stopIfTrue="1" operator="notBetween">
      <formula>$AJ$25</formula>
      <formula>$AJ$26</formula>
    </cfRule>
  </conditionalFormatting>
  <conditionalFormatting sqref="AK15:AK17 AK9:AK12">
    <cfRule type="cellIs" dxfId="282" priority="431" stopIfTrue="1" operator="notBetween">
      <formula>$AK$25</formula>
      <formula>$AK$26</formula>
    </cfRule>
  </conditionalFormatting>
  <conditionalFormatting sqref="AL15:AL17 AL9:AL12">
    <cfRule type="cellIs" dxfId="281" priority="430" stopIfTrue="1" operator="notBetween">
      <formula>$AL$25</formula>
      <formula>$AL$26</formula>
    </cfRule>
  </conditionalFormatting>
  <conditionalFormatting sqref="AM15:AM17 AM9:AM12">
    <cfRule type="cellIs" dxfId="280" priority="429" stopIfTrue="1" operator="notBetween">
      <formula>$AM$25</formula>
      <formula>$AM$26</formula>
    </cfRule>
  </conditionalFormatting>
  <conditionalFormatting sqref="AN15:AN17 AN9:AN12">
    <cfRule type="cellIs" dxfId="279" priority="428" stopIfTrue="1" operator="notBetween">
      <formula>$AN$25</formula>
      <formula>$AN$26</formula>
    </cfRule>
  </conditionalFormatting>
  <conditionalFormatting sqref="AO9:AO12 AO14:AO18">
    <cfRule type="cellIs" dxfId="278" priority="690" stopIfTrue="1" operator="notBetween">
      <formula>$AO$25</formula>
      <formula>$AO$26</formula>
    </cfRule>
  </conditionalFormatting>
  <conditionalFormatting sqref="AP15:AP17 AP9:AP12">
    <cfRule type="cellIs" dxfId="277" priority="427" stopIfTrue="1" operator="notBetween">
      <formula>$AP$25</formula>
      <formula>$AP$26</formula>
    </cfRule>
  </conditionalFormatting>
  <conditionalFormatting sqref="AQ15:AQ17 AQ9:AQ12">
    <cfRule type="cellIs" dxfId="276" priority="426" stopIfTrue="1" operator="notBetween">
      <formula>$AQ$25</formula>
      <formula>$AQ$26</formula>
    </cfRule>
  </conditionalFormatting>
  <conditionalFormatting sqref="AR15:AR17 AR9:AR12">
    <cfRule type="cellIs" dxfId="275" priority="425" stopIfTrue="1" operator="notBetween">
      <formula>$AR$25</formula>
      <formula>$AR$26</formula>
    </cfRule>
  </conditionalFormatting>
  <conditionalFormatting sqref="AS15:AS17 AS9:AS12">
    <cfRule type="cellIs" dxfId="274" priority="424" stopIfTrue="1" operator="notBetween">
      <formula>$AS$25</formula>
      <formula>$AS$26</formula>
    </cfRule>
  </conditionalFormatting>
  <conditionalFormatting sqref="AT15:AT17 AT9:AT12">
    <cfRule type="cellIs" dxfId="273" priority="423" stopIfTrue="1" operator="notBetween">
      <formula>$AT$25</formula>
      <formula>$AT$26</formula>
    </cfRule>
  </conditionalFormatting>
  <conditionalFormatting sqref="AU15:AU17 AU9:AU12">
    <cfRule type="cellIs" dxfId="272" priority="23" stopIfTrue="1" operator="notBetween">
      <formula>$AU$25</formula>
      <formula>$AU$26</formula>
    </cfRule>
  </conditionalFormatting>
  <conditionalFormatting sqref="AV15:AV17 AV9:AV12">
    <cfRule type="cellIs" dxfId="271" priority="422" stopIfTrue="1" operator="notBetween">
      <formula>$AV$25</formula>
      <formula>$AV$26</formula>
    </cfRule>
  </conditionalFormatting>
  <conditionalFormatting sqref="AW9:AW12 AW14:AW17">
    <cfRule type="expression" dxfId="270"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628</v>
      </c>
      <c r="D3" s="626"/>
      <c r="E3" s="626"/>
      <c r="F3" s="626"/>
      <c r="G3" s="626" t="str">
        <f xml:space="preserve"> "Año: " &amp; Año &amp; "  Trimestres " &amp; TrimIni &amp; " al " &amp; TrimFin</f>
        <v>Año: 2024  Trimestres 3 al 3</v>
      </c>
      <c r="H3" s="627"/>
      <c r="I3" s="627"/>
      <c r="J3" s="627"/>
      <c r="K3" s="628"/>
      <c r="L3" s="628"/>
      <c r="M3" s="628"/>
      <c r="N3" s="628"/>
      <c r="O3" s="628"/>
      <c r="P3" s="628"/>
      <c r="Q3" s="628"/>
    </row>
    <row r="4" spans="1:18" ht="42" customHeight="1" thickBot="1">
      <c r="A4" s="1543" t="s">
        <v>629</v>
      </c>
      <c r="B4" s="1543" t="s">
        <v>733</v>
      </c>
      <c r="C4" s="1543" t="s">
        <v>630</v>
      </c>
      <c r="D4" s="1543" t="s">
        <v>691</v>
      </c>
      <c r="E4" s="1545" t="s">
        <v>692</v>
      </c>
      <c r="F4" s="1543" t="s">
        <v>631</v>
      </c>
      <c r="G4" s="1545" t="s">
        <v>452</v>
      </c>
      <c r="H4" s="1538" t="s">
        <v>632</v>
      </c>
      <c r="I4" s="1538" t="s">
        <v>633</v>
      </c>
      <c r="J4" s="1538" t="s">
        <v>634</v>
      </c>
      <c r="K4" s="1540" t="s">
        <v>272</v>
      </c>
      <c r="L4" s="1541"/>
      <c r="M4" s="1541"/>
      <c r="N4" s="1542"/>
      <c r="O4" s="1540" t="s">
        <v>447</v>
      </c>
      <c r="P4" s="1541"/>
      <c r="Q4" s="1541"/>
      <c r="R4" s="1542"/>
    </row>
    <row r="5" spans="1:18" ht="27.75" customHeight="1" thickBot="1">
      <c r="A5" s="1544"/>
      <c r="B5" s="1544"/>
      <c r="C5" s="1544"/>
      <c r="D5" s="1544"/>
      <c r="E5" s="1544"/>
      <c r="F5" s="1544"/>
      <c r="G5" s="1544"/>
      <c r="H5" s="1539"/>
      <c r="I5" s="1539"/>
      <c r="J5" s="1539"/>
      <c r="K5" s="846" t="s">
        <v>448</v>
      </c>
      <c r="L5" s="846" t="s">
        <v>449</v>
      </c>
      <c r="M5" s="846" t="s">
        <v>450</v>
      </c>
      <c r="N5" s="846" t="s">
        <v>451</v>
      </c>
      <c r="O5" s="847" t="s">
        <v>448</v>
      </c>
      <c r="P5" s="846" t="s">
        <v>449</v>
      </c>
      <c r="Q5" s="846" t="s">
        <v>450</v>
      </c>
      <c r="R5" s="846" t="s">
        <v>451</v>
      </c>
    </row>
  </sheetData>
  <sheetProtection algorithmName="SHA-512" hashValue="/ceM4B8OsAlLfXTdRpWShe7SdozjTwO35a+jMX7okmkrN7QEk6XDjkbL9MsSuE96+LI79eZPfsys66HDfzEOlQ==" saltValue="/bGDz4LPLbMBggKOkrmDAg=="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Z27"/>
  <sheetViews>
    <sheetView topLeftCell="DZ1" zoomScale="85" zoomScaleNormal="85" workbookViewId="0">
      <selection activeCell="EZ9" sqref="EZ9"/>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ANDALUCIA</v>
      </c>
    </row>
    <row r="4" spans="1:156" ht="13.5" thickBot="1">
      <c r="A4" t="str">
        <f>Criterios!A10</f>
        <v>Provincias</v>
      </c>
      <c r="B4" t="str">
        <f>Criterios!B10</f>
        <v>HUELVA</v>
      </c>
      <c r="CE4" s="1441" t="s">
        <v>273</v>
      </c>
      <c r="CF4" s="1442"/>
      <c r="CG4" s="1442"/>
      <c r="CH4" s="1443"/>
    </row>
    <row r="5" spans="1:156" ht="12.75" customHeight="1" thickBot="1">
      <c r="A5" s="1411" t="str">
        <f>"Año:  " &amp;Criterios!B5 &amp; "                  Trimestre   " &amp;Criterios!D5 &amp; " al " &amp;Criterios!D6</f>
        <v>Año:  2024                  Trimestre   3 al 3</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t="s">
        <v>201</v>
      </c>
      <c r="BO5" s="1304"/>
      <c r="BP5" s="1303" t="s">
        <v>202</v>
      </c>
      <c r="BQ5" s="1304"/>
      <c r="BR5" s="1303" t="s">
        <v>203</v>
      </c>
      <c r="BS5" s="1304"/>
      <c r="BT5" s="1303" t="s">
        <v>204</v>
      </c>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754</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t="s">
        <v>161</v>
      </c>
      <c r="BO6" s="1301" t="s">
        <v>162</v>
      </c>
      <c r="BP6" s="1301" t="s">
        <v>161</v>
      </c>
      <c r="BQ6" s="1301" t="s">
        <v>162</v>
      </c>
      <c r="BR6" s="1301" t="s">
        <v>161</v>
      </c>
      <c r="BS6" s="1301" t="s">
        <v>162</v>
      </c>
      <c r="BT6" s="1301" t="s">
        <v>161</v>
      </c>
      <c r="BU6" s="1301" t="s">
        <v>162</v>
      </c>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50" t="s">
        <v>750</v>
      </c>
      <c r="ER8" s="50" t="s">
        <v>755</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gOiYigKSzJ/auXgpr1RuETzrEql9f3S/Sb/AISMUQjUS0M3f2tfrK7WPx7XzdEtJeLrBjZbXDXAd4X1fB2uTKw==" saltValue="2AiMDJxVQ4mh5CJv5yjcjA==" spinCount="100000" sheet="1" objects="1" scenarios="1"/>
  <mergeCells count="124">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DC5:DC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CK5:CK7"/>
    <mergeCell ref="CL5:CL7"/>
    <mergeCell ref="CM5:CM7"/>
    <mergeCell ref="CN5:CN7"/>
    <mergeCell ref="CO5:CO7"/>
    <mergeCell ref="CP5:CP7"/>
    <mergeCell ref="CQ5:CQ7"/>
    <mergeCell ref="BZ5:BZ7"/>
    <mergeCell ref="CA5:CA7"/>
    <mergeCell ref="CB5:CB7"/>
    <mergeCell ref="CC5:CC7"/>
    <mergeCell ref="CD5:CD7"/>
    <mergeCell ref="CE5:CE7"/>
    <mergeCell ref="EZ5:EZ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s>
  <conditionalFormatting sqref="I15:R17 AU11 CO11 CO16 CS16:DD16 BK16:BX16 CS11:DG11 I9:R9 Y9:AB9 AP10 AR10 BH10:BI11 Y11:AB12 BK11:BU11 CE11:CJ11 I11:R12 AO16:AO17 BH16:BI17 AP17 AR17 EO16:ER16 EV16:EW16">
    <cfRule type="cellIs" dxfId="269" priority="474" stopIfTrue="1" operator="equal">
      <formula>$A$30</formula>
    </cfRule>
  </conditionalFormatting>
  <conditionalFormatting sqref="I13:BC14 I18:BC18 I19:ER19 EX19:EZ19">
    <cfRule type="cellIs" dxfId="268" priority="1665" stopIfTrue="1" operator="equal">
      <formula>$A$31</formula>
    </cfRule>
  </conditionalFormatting>
  <conditionalFormatting sqref="I1:DG1">
    <cfRule type="cellIs" dxfId="267" priority="1965" stopIfTrue="1" operator="equal">
      <formula>$A$31</formula>
    </cfRule>
  </conditionalFormatting>
  <conditionalFormatting sqref="I8:EY8">
    <cfRule type="cellIs" dxfId="266" priority="36"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Z12">
    <cfRule type="cellIs" dxfId="265" priority="416" stopIfTrue="1" operator="equal">
      <formula>$A$31</formula>
    </cfRule>
  </conditionalFormatting>
  <conditionalFormatting sqref="AO11:AS11">
    <cfRule type="cellIs" dxfId="264" priority="2009" stopIfTrue="1" operator="equal">
      <formula>$A$30</formula>
    </cfRule>
  </conditionalFormatting>
  <conditionalFormatting sqref="AP16:AS16">
    <cfRule type="cellIs" dxfId="263" priority="1760" stopIfTrue="1" operator="equal">
      <formula>$A$30</formula>
    </cfRule>
  </conditionalFormatting>
  <conditionalFormatting sqref="AS15:AS16">
    <cfRule type="cellIs" dxfId="262" priority="1684" stopIfTrue="1" operator="equal">
      <formula>$A$30</formula>
    </cfRule>
    <cfRule type="cellIs" dxfId="261" priority="1756" stopIfTrue="1" operator="equal">
      <formula>$A$30</formula>
    </cfRule>
  </conditionalFormatting>
  <conditionalFormatting sqref="AS15:AS17">
    <cfRule type="cellIs" dxfId="260" priority="1752" stopIfTrue="1" operator="equal">
      <formula>$A$31</formula>
    </cfRule>
    <cfRule type="cellIs" dxfId="259" priority="1755" stopIfTrue="1" operator="equal">
      <formula>$A$31</formula>
    </cfRule>
  </conditionalFormatting>
  <conditionalFormatting sqref="AS16">
    <cfRule type="cellIs" dxfId="258" priority="1753" stopIfTrue="1" operator="equal">
      <formula>$A$30</formula>
    </cfRule>
  </conditionalFormatting>
  <conditionalFormatting sqref="AU15">
    <cfRule type="cellIs" dxfId="257" priority="1437" stopIfTrue="1" operator="equal">
      <formula>$A$31</formula>
    </cfRule>
    <cfRule type="cellIs" dxfId="256" priority="1439" stopIfTrue="1" operator="equal">
      <formula>$A$30</formula>
    </cfRule>
    <cfRule type="cellIs" dxfId="255" priority="1440" stopIfTrue="1" operator="equal">
      <formula>$A$31</formula>
    </cfRule>
    <cfRule type="cellIs" dxfId="254" priority="1442" stopIfTrue="1" operator="equal">
      <formula>$A$30</formula>
    </cfRule>
    <cfRule type="cellIs" dxfId="253" priority="1443" stopIfTrue="1" operator="equal">
      <formula>$A$31</formula>
    </cfRule>
    <cfRule type="cellIs" dxfId="252" priority="1445" stopIfTrue="1" operator="equal">
      <formula>$A$30</formula>
    </cfRule>
    <cfRule type="cellIs" dxfId="251" priority="1446" stopIfTrue="1" operator="equal">
      <formula>$A$31</formula>
    </cfRule>
    <cfRule type="cellIs" dxfId="250" priority="1448" stopIfTrue="1" operator="equal">
      <formula>$A$30</formula>
    </cfRule>
    <cfRule type="cellIs" dxfId="249" priority="1449" stopIfTrue="1" operator="equal">
      <formula>$A$31</formula>
    </cfRule>
    <cfRule type="cellIs" dxfId="248" priority="1451" stopIfTrue="1" operator="equal">
      <formula>$A$30</formula>
    </cfRule>
    <cfRule type="cellIs" dxfId="247" priority="1452" stopIfTrue="1" operator="equal">
      <formula>$A$31</formula>
    </cfRule>
    <cfRule type="cellIs" dxfId="246" priority="1454" stopIfTrue="1" operator="equal">
      <formula>$A$30</formula>
    </cfRule>
    <cfRule type="cellIs" dxfId="245" priority="1455" stopIfTrue="1" operator="equal">
      <formula>$A$31</formula>
    </cfRule>
  </conditionalFormatting>
  <conditionalFormatting sqref="AU15:AU16">
    <cfRule type="cellIs" dxfId="244" priority="1408" stopIfTrue="1" operator="equal">
      <formula>$A$30</formula>
    </cfRule>
    <cfRule type="cellIs" dxfId="243" priority="1598" stopIfTrue="1" operator="equal">
      <formula>$A$30</formula>
    </cfRule>
  </conditionalFormatting>
  <conditionalFormatting sqref="AU16">
    <cfRule type="cellIs" dxfId="242" priority="1387" stopIfTrue="1" operator="equal">
      <formula>$A$30</formula>
    </cfRule>
    <cfRule type="cellIs" dxfId="241" priority="1388" stopIfTrue="1" operator="equal">
      <formula>$A$31</formula>
    </cfRule>
    <cfRule type="cellIs" dxfId="240" priority="1390" stopIfTrue="1" operator="equal">
      <formula>$A$30</formula>
    </cfRule>
    <cfRule type="cellIs" dxfId="239" priority="1391" stopIfTrue="1" operator="equal">
      <formula>$A$31</formula>
    </cfRule>
    <cfRule type="cellIs" dxfId="238" priority="1393" stopIfTrue="1" operator="equal">
      <formula>$A$30</formula>
    </cfRule>
    <cfRule type="cellIs" dxfId="237" priority="1394" stopIfTrue="1" operator="equal">
      <formula>$A$31</formula>
    </cfRule>
    <cfRule type="cellIs" dxfId="236" priority="1396" stopIfTrue="1" operator="equal">
      <formula>$A$30</formula>
    </cfRule>
    <cfRule type="cellIs" dxfId="235" priority="1397" stopIfTrue="1" operator="equal">
      <formula>$A$31</formula>
    </cfRule>
    <cfRule type="cellIs" dxfId="234" priority="1399" stopIfTrue="1" operator="equal">
      <formula>$A$30</formula>
    </cfRule>
    <cfRule type="cellIs" dxfId="233" priority="1400" stopIfTrue="1" operator="equal">
      <formula>$A$31</formula>
    </cfRule>
    <cfRule type="cellIs" dxfId="232" priority="1402" stopIfTrue="1" operator="equal">
      <formula>$A$30</formula>
    </cfRule>
    <cfRule type="cellIs" dxfId="231" priority="1403" stopIfTrue="1" operator="equal">
      <formula>$A$31</formula>
    </cfRule>
    <cfRule type="cellIs" dxfId="230" priority="1405" stopIfTrue="1" operator="equal">
      <formula>$A$30</formula>
    </cfRule>
    <cfRule type="cellIs" dxfId="229" priority="1406" stopIfTrue="1" operator="equal">
      <formula>$A$31</formula>
    </cfRule>
  </conditionalFormatting>
  <conditionalFormatting sqref="AU17">
    <cfRule type="cellIs" dxfId="228" priority="1336" stopIfTrue="1" operator="equal">
      <formula>$A$31</formula>
    </cfRule>
  </conditionalFormatting>
  <conditionalFormatting sqref="AW11">
    <cfRule type="cellIs" dxfId="227" priority="1563" stopIfTrue="1" operator="equal">
      <formula>$A$30</formula>
    </cfRule>
    <cfRule type="cellIs" dxfId="226" priority="1565" stopIfTrue="1" operator="equal">
      <formula>$A$30</formula>
    </cfRule>
    <cfRule type="cellIs" dxfId="225" priority="1567" stopIfTrue="1" operator="equal">
      <formula>$A$30</formula>
    </cfRule>
    <cfRule type="cellIs" dxfId="224" priority="1569" stopIfTrue="1" operator="equal">
      <formula>$A$30</formula>
    </cfRule>
    <cfRule type="cellIs" dxfId="223" priority="1571" stopIfTrue="1" operator="equal">
      <formula>$A$30</formula>
    </cfRule>
    <cfRule type="cellIs" dxfId="222" priority="1573" stopIfTrue="1" operator="equal">
      <formula>$A$30</formula>
    </cfRule>
    <cfRule type="cellIs" dxfId="221" priority="1575" stopIfTrue="1" operator="equal">
      <formula>$A$30</formula>
    </cfRule>
    <cfRule type="cellIs" dxfId="220" priority="1577" stopIfTrue="1" operator="equal">
      <formula>$A$30</formula>
    </cfRule>
    <cfRule type="cellIs" dxfId="219" priority="1579" stopIfTrue="1" operator="equal">
      <formula>$A$30</formula>
    </cfRule>
    <cfRule type="cellIs" dxfId="218" priority="1581" stopIfTrue="1" operator="equal">
      <formula>$A$30</formula>
    </cfRule>
    <cfRule type="cellIs" dxfId="217" priority="1583" stopIfTrue="1" operator="equal">
      <formula>$A$30</formula>
    </cfRule>
    <cfRule type="cellIs" dxfId="216" priority="1585" stopIfTrue="1" operator="equal">
      <formula>$A$30</formula>
    </cfRule>
    <cfRule type="cellIs" dxfId="215" priority="1587" stopIfTrue="1" operator="equal">
      <formula>$A$30</formula>
    </cfRule>
    <cfRule type="cellIs" dxfId="214" priority="1589" stopIfTrue="1" operator="equal">
      <formula>$A$30</formula>
    </cfRule>
    <cfRule type="cellIs" dxfId="213" priority="1591" stopIfTrue="1" operator="equal">
      <formula>$A$30</formula>
    </cfRule>
  </conditionalFormatting>
  <conditionalFormatting sqref="AW15">
    <cfRule type="cellIs" dxfId="212" priority="1418" stopIfTrue="1" operator="equal">
      <formula>$A$30</formula>
    </cfRule>
    <cfRule type="cellIs" dxfId="211" priority="1419" stopIfTrue="1" operator="equal">
      <formula>$A$31</formula>
    </cfRule>
    <cfRule type="cellIs" dxfId="210" priority="1421" stopIfTrue="1" operator="equal">
      <formula>$A$30</formula>
    </cfRule>
    <cfRule type="cellIs" dxfId="209" priority="1422" stopIfTrue="1" operator="equal">
      <formula>$A$31</formula>
    </cfRule>
    <cfRule type="cellIs" dxfId="208" priority="1424" stopIfTrue="1" operator="equal">
      <formula>$A$30</formula>
    </cfRule>
    <cfRule type="cellIs" dxfId="207" priority="1425" stopIfTrue="1" operator="equal">
      <formula>$A$31</formula>
    </cfRule>
    <cfRule type="cellIs" dxfId="206" priority="1427" stopIfTrue="1" operator="equal">
      <formula>$A$30</formula>
    </cfRule>
    <cfRule type="cellIs" dxfId="205" priority="1428" stopIfTrue="1" operator="equal">
      <formula>$A$31</formula>
    </cfRule>
    <cfRule type="cellIs" dxfId="204" priority="1430" stopIfTrue="1" operator="equal">
      <formula>$A$30</formula>
    </cfRule>
    <cfRule type="cellIs" dxfId="203" priority="1431" stopIfTrue="1" operator="equal">
      <formula>$A$31</formula>
    </cfRule>
    <cfRule type="cellIs" dxfId="202" priority="1433" stopIfTrue="1" operator="equal">
      <formula>$A$30</formula>
    </cfRule>
    <cfRule type="cellIs" dxfId="201" priority="1434" stopIfTrue="1" operator="equal">
      <formula>$A$31</formula>
    </cfRule>
  </conditionalFormatting>
  <conditionalFormatting sqref="AW15:AW16">
    <cfRule type="cellIs" dxfId="200" priority="1384" stopIfTrue="1" operator="equal">
      <formula>$A$30</formula>
    </cfRule>
    <cfRule type="cellIs" dxfId="199" priority="1385" stopIfTrue="1" operator="equal">
      <formula>$A$31</formula>
    </cfRule>
  </conditionalFormatting>
  <conditionalFormatting sqref="AW16">
    <cfRule type="cellIs" dxfId="198" priority="1366" stopIfTrue="1" operator="equal">
      <formula>$A$30</formula>
    </cfRule>
    <cfRule type="cellIs" dxfId="197" priority="1367" stopIfTrue="1" operator="equal">
      <formula>$A$31</formula>
    </cfRule>
    <cfRule type="cellIs" dxfId="196" priority="1369" stopIfTrue="1" operator="equal">
      <formula>$A$30</formula>
    </cfRule>
    <cfRule type="cellIs" dxfId="195" priority="1370" stopIfTrue="1" operator="equal">
      <formula>$A$31</formula>
    </cfRule>
    <cfRule type="cellIs" dxfId="194" priority="1372" stopIfTrue="1" operator="equal">
      <formula>$A$30</formula>
    </cfRule>
    <cfRule type="cellIs" dxfId="193" priority="1373" stopIfTrue="1" operator="equal">
      <formula>$A$31</formula>
    </cfRule>
    <cfRule type="cellIs" dxfId="192" priority="1375" stopIfTrue="1" operator="equal">
      <formula>$A$30</formula>
    </cfRule>
    <cfRule type="cellIs" dxfId="191" priority="1376" stopIfTrue="1" operator="equal">
      <formula>$A$31</formula>
    </cfRule>
    <cfRule type="cellIs" dxfId="190" priority="1378" stopIfTrue="1" operator="equal">
      <formula>$A$30</formula>
    </cfRule>
    <cfRule type="cellIs" dxfId="189" priority="1379" stopIfTrue="1" operator="equal">
      <formula>$A$31</formula>
    </cfRule>
    <cfRule type="cellIs" dxfId="188" priority="1381" stopIfTrue="1" operator="equal">
      <formula>$A$30</formula>
    </cfRule>
    <cfRule type="cellIs" dxfId="187" priority="1382" stopIfTrue="1" operator="equal">
      <formula>$A$31</formula>
    </cfRule>
  </conditionalFormatting>
  <conditionalFormatting sqref="AW17">
    <cfRule type="cellIs" dxfId="186" priority="1307" stopIfTrue="1" operator="equal">
      <formula>$A$31</formula>
    </cfRule>
  </conditionalFormatting>
  <conditionalFormatting sqref="BD14:BG14">
    <cfRule type="cellIs" dxfId="185" priority="2008" stopIfTrue="1" operator="equal">
      <formula>$A$31</formula>
    </cfRule>
  </conditionalFormatting>
  <conditionalFormatting sqref="BH18:ES18">
    <cfRule type="cellIs" dxfId="184" priority="102" stopIfTrue="1" operator="equal">
      <formula>$A$31</formula>
    </cfRule>
  </conditionalFormatting>
  <conditionalFormatting sqref="BH13:EY14">
    <cfRule type="cellIs" dxfId="183" priority="31" stopIfTrue="1" operator="equal">
      <formula>$A$31</formula>
    </cfRule>
  </conditionalFormatting>
  <conditionalFormatting sqref="BK12:BX12">
    <cfRule type="cellIs" dxfId="182" priority="2007" stopIfTrue="1" operator="equal">
      <formula>$A$31</formula>
    </cfRule>
  </conditionalFormatting>
  <conditionalFormatting sqref="BK17:CJ17">
    <cfRule type="cellIs" dxfId="181" priority="592" stopIfTrue="1" operator="equal">
      <formula>$A$31</formula>
    </cfRule>
  </conditionalFormatting>
  <conditionalFormatting sqref="BN16:BU16">
    <cfRule type="cellIs" dxfId="180" priority="2000" stopIfTrue="1" operator="equal">
      <formula>$A$30</formula>
    </cfRule>
  </conditionalFormatting>
  <conditionalFormatting sqref="BT16:BU16">
    <cfRule type="cellIs" dxfId="179" priority="2006" stopIfTrue="1" operator="equal">
      <formula>$A$31</formula>
    </cfRule>
  </conditionalFormatting>
  <conditionalFormatting sqref="BY11:BZ11">
    <cfRule type="cellIs" dxfId="178" priority="595" stopIfTrue="1" operator="equal">
      <formula>$A$30</formula>
    </cfRule>
  </conditionalFormatting>
  <conditionalFormatting sqref="BY12:CJ12">
    <cfRule type="cellIs" dxfId="177" priority="594" stopIfTrue="1" operator="equal">
      <formula>$A$31</formula>
    </cfRule>
  </conditionalFormatting>
  <conditionalFormatting sqref="BY16:CJ16">
    <cfRule type="cellIs" dxfId="176" priority="593" stopIfTrue="1" operator="equal">
      <formula>$A$30</formula>
    </cfRule>
  </conditionalFormatting>
  <conditionalFormatting sqref="DB15">
    <cfRule type="cellIs" dxfId="175" priority="1770" stopIfTrue="1" operator="equal">
      <formula>$A$30</formula>
    </cfRule>
    <cfRule type="cellIs" dxfId="174" priority="1987" stopIfTrue="1" operator="equal">
      <formula>$A$30</formula>
    </cfRule>
  </conditionalFormatting>
  <conditionalFormatting sqref="DB15:DE17">
    <cfRule type="cellIs" dxfId="173" priority="1978" stopIfTrue="1" operator="equal">
      <formula>$A$31</formula>
    </cfRule>
    <cfRule type="cellIs" dxfId="172" priority="1982" stopIfTrue="1" operator="equal">
      <formula>$A$31</formula>
    </cfRule>
  </conditionalFormatting>
  <conditionalFormatting sqref="DB16:DE16">
    <cfRule type="cellIs" dxfId="171" priority="1772" stopIfTrue="1" operator="equal">
      <formula>$A$30</formula>
    </cfRule>
    <cfRule type="cellIs" dxfId="170" priority="1980" stopIfTrue="1" operator="equal">
      <formula>$A$30</formula>
    </cfRule>
    <cfRule type="cellIs" dxfId="169" priority="1989" stopIfTrue="1" operator="equal">
      <formula>$A$30</formula>
    </cfRule>
  </conditionalFormatting>
  <conditionalFormatting sqref="DB16:DF16">
    <cfRule type="cellIs" dxfId="168" priority="1959" stopIfTrue="1" operator="equal">
      <formula>$A$30</formula>
    </cfRule>
  </conditionalFormatting>
  <conditionalFormatting sqref="DE17">
    <cfRule type="cellIs" dxfId="167" priority="1811" stopIfTrue="1" operator="equal">
      <formula>$A$30</formula>
    </cfRule>
    <cfRule type="cellIs" dxfId="166" priority="1986" stopIfTrue="1" operator="equal">
      <formula>$A$30</formula>
    </cfRule>
  </conditionalFormatting>
  <conditionalFormatting sqref="DF15:DF17">
    <cfRule type="cellIs" dxfId="165" priority="1948" stopIfTrue="1" operator="equal">
      <formula>$A$31</formula>
    </cfRule>
    <cfRule type="cellIs" dxfId="164" priority="1951" stopIfTrue="1" operator="equal">
      <formula>$A$31</formula>
    </cfRule>
  </conditionalFormatting>
  <conditionalFormatting sqref="DF16">
    <cfRule type="cellIs" dxfId="163" priority="1949" stopIfTrue="1" operator="equal">
      <formula>$A$30</formula>
    </cfRule>
  </conditionalFormatting>
  <conditionalFormatting sqref="DF16:DF17">
    <cfRule type="cellIs" dxfId="162" priority="1782" stopIfTrue="1" operator="equal">
      <formula>$A$30</formula>
    </cfRule>
    <cfRule type="cellIs" dxfId="161" priority="1955" stopIfTrue="1" operator="equal">
      <formula>$A$30</formula>
    </cfRule>
  </conditionalFormatting>
  <conditionalFormatting sqref="DG16">
    <cfRule type="cellIs" dxfId="160" priority="666" stopIfTrue="1" operator="equal">
      <formula>$A$30</formula>
    </cfRule>
  </conditionalFormatting>
  <conditionalFormatting sqref="DM1:EA1">
    <cfRule type="cellIs" dxfId="159" priority="536" stopIfTrue="1" operator="equal">
      <formula>$A$31</formula>
    </cfRule>
  </conditionalFormatting>
  <conditionalFormatting sqref="DM15:EK17">
    <cfRule type="cellIs" dxfId="158" priority="531" stopIfTrue="1" operator="equal">
      <formula>$A$31</formula>
    </cfRule>
  </conditionalFormatting>
  <conditionalFormatting sqref="EL15:EN17">
    <cfRule type="cellIs" dxfId="157" priority="418" stopIfTrue="1" operator="equal">
      <formula>$A$31</formula>
    </cfRule>
  </conditionalFormatting>
  <conditionalFormatting sqref="EO11:ER11">
    <cfRule type="cellIs" dxfId="156" priority="212" stopIfTrue="1" operator="equal">
      <formula>$A$30</formula>
    </cfRule>
  </conditionalFormatting>
  <conditionalFormatting sqref="EO15:ER17">
    <cfRule type="cellIs" dxfId="155" priority="210" stopIfTrue="1" operator="equal">
      <formula>$A$31</formula>
    </cfRule>
  </conditionalFormatting>
  <conditionalFormatting sqref="EO15:ES16">
    <cfRule type="cellIs" dxfId="154" priority="146" stopIfTrue="1" operator="equal">
      <formula>$A$30</formula>
    </cfRule>
  </conditionalFormatting>
  <conditionalFormatting sqref="ES11">
    <cfRule type="cellIs" dxfId="153" priority="157" stopIfTrue="1" operator="equal">
      <formula>$A$30</formula>
    </cfRule>
  </conditionalFormatting>
  <conditionalFormatting sqref="ES15:ES17">
    <cfRule type="cellIs" dxfId="152" priority="148" stopIfTrue="1" operator="equal">
      <formula>$A$31</formula>
    </cfRule>
  </conditionalFormatting>
  <conditionalFormatting sqref="ES16">
    <cfRule type="cellIs" dxfId="151" priority="149" stopIfTrue="1" operator="equal">
      <formula>$A$30</formula>
    </cfRule>
  </conditionalFormatting>
  <conditionalFormatting sqref="EU18:EY18">
    <cfRule type="cellIs" dxfId="150" priority="33" stopIfTrue="1" operator="equal">
      <formula>$A$31</formula>
    </cfRule>
  </conditionalFormatting>
  <conditionalFormatting sqref="EV11:EW11">
    <cfRule type="cellIs" dxfId="149" priority="63" stopIfTrue="1" operator="equal">
      <formula>$A$30</formula>
    </cfRule>
  </conditionalFormatting>
  <conditionalFormatting sqref="EX15:EY17">
    <cfRule type="cellIs" dxfId="148" priority="15" stopIfTrue="1" operator="equal">
      <formula>$A$31</formula>
    </cfRule>
  </conditionalFormatting>
  <conditionalFormatting sqref="EZ8">
    <cfRule type="cellIs" dxfId="147" priority="14" stopIfTrue="1" operator="equal">
      <formula>$A$31</formula>
    </cfRule>
  </conditionalFormatting>
  <conditionalFormatting sqref="EZ14">
    <cfRule type="cellIs" dxfId="146" priority="12" stopIfTrue="1" operator="equal">
      <formula>$A$31</formula>
    </cfRule>
  </conditionalFormatting>
  <conditionalFormatting sqref="EZ13">
    <cfRule type="cellIs" dxfId="145" priority="13" stopIfTrue="1" operator="equal">
      <formula>$A$31</formula>
    </cfRule>
  </conditionalFormatting>
  <conditionalFormatting sqref="EZ18">
    <cfRule type="cellIs" dxfId="144" priority="10" stopIfTrue="1" operator="equal">
      <formula>$A$31</formula>
    </cfRule>
  </conditionalFormatting>
  <conditionalFormatting sqref="EZ15:EZ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Z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77" width="11.42578125" style="645"/>
    <col min="78" max="78" width="0" style="1026" hidden="1" customWidth="1"/>
    <col min="79" max="16384" width="11.42578125" style="645"/>
  </cols>
  <sheetData>
    <row r="1" spans="1:78">
      <c r="C1" s="644" t="str">
        <f>Criterios!A9 &amp;"  "&amp;Criterios!B9</f>
        <v>Tribunales de Justicia  ANDALUCIA</v>
      </c>
    </row>
    <row r="2" spans="1:78" ht="16.5" customHeight="1">
      <c r="C2" s="488" t="str">
        <f>Criterios!A10 &amp;"  "&amp;Criterios!B10 &amp; "  " &amp; IF(NOT(ISBLANK(Criterios!A11)),Criterios!A11 &amp;"  "&amp;Criterios!B11,"")</f>
        <v>Provincias  HUELVA  Resumenes por Partidos Judiciales  VALVERDE DEL CAMINO</v>
      </c>
      <c r="D2" s="644"/>
      <c r="E2" s="649"/>
      <c r="F2" s="649"/>
      <c r="G2" s="650"/>
      <c r="I2" s="649"/>
      <c r="J2" s="651"/>
      <c r="K2" s="649"/>
      <c r="L2" s="649"/>
      <c r="M2" s="652"/>
      <c r="N2" s="652"/>
      <c r="O2" s="649"/>
      <c r="S2" s="649"/>
      <c r="T2" s="653"/>
    </row>
    <row r="3" spans="1:78" ht="21.75" customHeight="1">
      <c r="C3" s="654"/>
      <c r="D3" s="655"/>
      <c r="G3" s="650"/>
      <c r="I3" s="649"/>
      <c r="BZ3" s="471"/>
    </row>
    <row r="4" spans="1:78"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c r="BZ4" s="471"/>
    </row>
    <row r="5" spans="1:78" ht="15.75" customHeight="1">
      <c r="A5" s="1263" t="s">
        <v>351</v>
      </c>
      <c r="B5" s="272"/>
      <c r="C5" s="1263" t="str">
        <f>"Año:  " &amp;Criterios!B$5 &amp; "          Trimestre   " &amp;Criterios!D$5 &amp; " al " &amp;Criterios!D$6</f>
        <v>Año:  2024          Trimestre   3 al 3</v>
      </c>
      <c r="D5" s="1492" t="s">
        <v>376</v>
      </c>
      <c r="E5" s="1492" t="s">
        <v>560</v>
      </c>
      <c r="F5" s="1503" t="s">
        <v>406</v>
      </c>
      <c r="G5" s="1492" t="s">
        <v>128</v>
      </c>
      <c r="H5" s="1492" t="s">
        <v>590</v>
      </c>
      <c r="I5" s="1492" t="s">
        <v>561</v>
      </c>
      <c r="J5" s="1492" t="s">
        <v>664</v>
      </c>
      <c r="K5" s="1492" t="s">
        <v>562</v>
      </c>
      <c r="L5" s="1492" t="s">
        <v>530</v>
      </c>
      <c r="M5" s="1495" t="s">
        <v>588</v>
      </c>
      <c r="N5" s="1492" t="s">
        <v>719</v>
      </c>
      <c r="O5" s="1492" t="s">
        <v>679</v>
      </c>
      <c r="P5" s="1492" t="s">
        <v>168</v>
      </c>
      <c r="Q5" s="1498" t="s">
        <v>676</v>
      </c>
      <c r="R5" s="1498" t="s">
        <v>720</v>
      </c>
      <c r="S5" s="1492" t="s">
        <v>591</v>
      </c>
      <c r="T5" s="1498" t="s">
        <v>563</v>
      </c>
      <c r="U5" s="1498" t="s">
        <v>770</v>
      </c>
      <c r="V5" s="1498" t="s">
        <v>771</v>
      </c>
      <c r="W5" s="1509" t="s">
        <v>613</v>
      </c>
      <c r="X5" s="1527" t="s">
        <v>564</v>
      </c>
      <c r="Y5" s="1509" t="s">
        <v>565</v>
      </c>
      <c r="Z5" s="1509" t="s">
        <v>566</v>
      </c>
      <c r="AA5" s="1492" t="s">
        <v>680</v>
      </c>
      <c r="AB5" s="1492" t="s">
        <v>685</v>
      </c>
      <c r="AC5" s="1492" t="s">
        <v>182</v>
      </c>
      <c r="AD5" s="1515" t="s">
        <v>180</v>
      </c>
      <c r="AE5" s="1492" t="s">
        <v>681</v>
      </c>
      <c r="AF5" s="1518" t="s">
        <v>682</v>
      </c>
      <c r="AG5" s="1521" t="s">
        <v>539</v>
      </c>
      <c r="AH5" s="1492" t="s">
        <v>540</v>
      </c>
      <c r="AI5" s="1492" t="s">
        <v>611</v>
      </c>
      <c r="AJ5" s="1524" t="s">
        <v>612</v>
      </c>
      <c r="AK5" s="1521" t="s">
        <v>183</v>
      </c>
      <c r="AL5" s="1492" t="s">
        <v>570</v>
      </c>
      <c r="AM5" s="1492" t="s">
        <v>247</v>
      </c>
      <c r="AN5" s="1492" t="s">
        <v>248</v>
      </c>
      <c r="AO5" s="1492" t="s">
        <v>249</v>
      </c>
      <c r="AP5" s="1492" t="s">
        <v>571</v>
      </c>
      <c r="AQ5" s="1492" t="s">
        <v>250</v>
      </c>
      <c r="AR5" s="1492" t="s">
        <v>572</v>
      </c>
      <c r="AS5" s="1492" t="s">
        <v>573</v>
      </c>
      <c r="AT5" s="1492" t="s">
        <v>574</v>
      </c>
      <c r="AU5" s="1492" t="s">
        <v>599</v>
      </c>
      <c r="AV5" s="1492" t="s">
        <v>592</v>
      </c>
      <c r="AW5" s="1492" t="s">
        <v>838</v>
      </c>
      <c r="AX5" s="1492" t="s">
        <v>841</v>
      </c>
      <c r="AY5" s="1492" t="s">
        <v>843</v>
      </c>
      <c r="AZ5" s="1492" t="s">
        <v>593</v>
      </c>
      <c r="BA5" s="1492" t="s">
        <v>859</v>
      </c>
      <c r="BB5" s="1492" t="s">
        <v>575</v>
      </c>
      <c r="BC5" s="1492" t="s">
        <v>538</v>
      </c>
      <c r="BW5" s="1492" t="s">
        <v>772</v>
      </c>
      <c r="BZ5" s="471"/>
    </row>
    <row r="6" spans="1:78" ht="21.75" customHeight="1">
      <c r="A6" s="1546"/>
      <c r="B6" s="659"/>
      <c r="C6" s="1548"/>
      <c r="D6" s="1493"/>
      <c r="E6" s="1493"/>
      <c r="F6" s="1504"/>
      <c r="G6" s="1493"/>
      <c r="H6" s="1493"/>
      <c r="I6" s="1493"/>
      <c r="J6" s="1493"/>
      <c r="K6" s="1493"/>
      <c r="L6" s="1493"/>
      <c r="M6" s="1496"/>
      <c r="N6" s="1493"/>
      <c r="O6" s="1493"/>
      <c r="P6" s="1493"/>
      <c r="Q6" s="1499"/>
      <c r="R6" s="1499"/>
      <c r="S6" s="1493"/>
      <c r="T6" s="1499"/>
      <c r="U6" s="1499"/>
      <c r="V6" s="1499"/>
      <c r="W6" s="1510"/>
      <c r="X6" s="1528"/>
      <c r="Y6" s="1510"/>
      <c r="Z6" s="1510"/>
      <c r="AA6" s="1493"/>
      <c r="AB6" s="1493"/>
      <c r="AC6" s="1493"/>
      <c r="AD6" s="1516"/>
      <c r="AE6" s="1493"/>
      <c r="AF6" s="1519"/>
      <c r="AG6" s="1522"/>
      <c r="AH6" s="1493"/>
      <c r="AI6" s="1493"/>
      <c r="AJ6" s="1525"/>
      <c r="AK6" s="1522"/>
      <c r="AL6" s="1493"/>
      <c r="AM6" s="1493"/>
      <c r="AN6" s="1493"/>
      <c r="AO6" s="1493"/>
      <c r="AP6" s="1493"/>
      <c r="AQ6" s="1493"/>
      <c r="AR6" s="1493"/>
      <c r="AS6" s="1493"/>
      <c r="AT6" s="1493"/>
      <c r="AU6" s="1493"/>
      <c r="AV6" s="1493"/>
      <c r="AW6" s="1493"/>
      <c r="AX6" s="1493"/>
      <c r="AY6" s="1493"/>
      <c r="AZ6" s="1493"/>
      <c r="BA6" s="1493"/>
      <c r="BB6" s="1493"/>
      <c r="BC6" s="1493"/>
      <c r="BW6" s="1493"/>
      <c r="BZ6" s="471"/>
    </row>
    <row r="7" spans="1:78" ht="38.25" customHeight="1" thickBot="1">
      <c r="A7" s="1547"/>
      <c r="B7" s="660"/>
      <c r="C7" s="661" t="str">
        <f>DatosP!A7</f>
        <v>COMPETENCIAS</v>
      </c>
      <c r="D7" s="1494"/>
      <c r="E7" s="1494"/>
      <c r="F7" s="1505"/>
      <c r="G7" s="1494"/>
      <c r="H7" s="1494"/>
      <c r="I7" s="1494"/>
      <c r="J7" s="1494"/>
      <c r="K7" s="1494"/>
      <c r="L7" s="1494"/>
      <c r="M7" s="1497"/>
      <c r="N7" s="1494"/>
      <c r="O7" s="1494"/>
      <c r="P7" s="1494"/>
      <c r="Q7" s="1500"/>
      <c r="R7" s="1500"/>
      <c r="S7" s="1494"/>
      <c r="T7" s="1500"/>
      <c r="U7" s="1500"/>
      <c r="V7" s="1500"/>
      <c r="W7" s="1511"/>
      <c r="X7" s="1529"/>
      <c r="Y7" s="1511"/>
      <c r="Z7" s="1511"/>
      <c r="AA7" s="1494"/>
      <c r="AB7" s="1494"/>
      <c r="AC7" s="1494"/>
      <c r="AD7" s="1517"/>
      <c r="AE7" s="1494"/>
      <c r="AF7" s="1520"/>
      <c r="AG7" s="1523"/>
      <c r="AH7" s="1494"/>
      <c r="AI7" s="1494"/>
      <c r="AJ7" s="1526"/>
      <c r="AK7" s="1523"/>
      <c r="AL7" s="1494"/>
      <c r="AM7" s="1494"/>
      <c r="AN7" s="1494"/>
      <c r="AO7" s="1494"/>
      <c r="AP7" s="1494"/>
      <c r="AQ7" s="1494"/>
      <c r="AR7" s="1494"/>
      <c r="AS7" s="1494"/>
      <c r="AT7" s="1494"/>
      <c r="AU7" s="1494"/>
      <c r="AV7" s="1494"/>
      <c r="AW7" s="1494"/>
      <c r="AX7" s="1494"/>
      <c r="AY7" s="1494"/>
      <c r="AZ7" s="1494"/>
      <c r="BA7" s="1494"/>
      <c r="BB7" s="1494"/>
      <c r="BC7" s="1494"/>
      <c r="BW7" s="1494"/>
      <c r="BZ7" s="471"/>
    </row>
    <row r="8" spans="1:78"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8"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c r="BZ9" s="1186">
        <f>DatosP!EZ9</f>
        <v>0</v>
      </c>
    </row>
    <row r="10" spans="1:78"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c r="BZ10" s="1186">
        <f>DatosP!EZ10</f>
        <v>0</v>
      </c>
    </row>
    <row r="11" spans="1:78"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c r="BZ11" s="1186">
        <f>DatosP!EZ11</f>
        <v>0</v>
      </c>
    </row>
    <row r="12" spans="1:78"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c r="BZ12" s="1186">
        <f>DatosP!EZ12</f>
        <v>0</v>
      </c>
    </row>
    <row r="13" spans="1:78"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0.22506393861892582</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c r="BZ13" s="1186"/>
    </row>
    <row r="14" spans="1:78"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c r="BZ14" s="1187"/>
    </row>
    <row r="15" spans="1:78"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c r="BZ15" s="1187">
        <f>DatosP!EZ15</f>
        <v>0</v>
      </c>
    </row>
    <row r="16" spans="1:78"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c r="BZ16" s="1187">
        <f>DatosP!EZ16</f>
        <v>0</v>
      </c>
    </row>
    <row r="17" spans="1:78"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c r="BZ17" s="1187">
        <f>DatosP!EZ17</f>
        <v>0</v>
      </c>
    </row>
    <row r="18" spans="1:78"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c r="BZ18" s="1186"/>
    </row>
    <row r="19" spans="1:78"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8"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8"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0.15914423719799534</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8"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8"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8"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8"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8"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8">
      <c r="C27" s="71"/>
      <c r="D27" s="71"/>
    </row>
    <row r="30" spans="1:78">
      <c r="C30" s="645" t="str">
        <f>Criterios!A4</f>
        <v>Fecha Informe: 29 nov. 2024</v>
      </c>
    </row>
    <row r="32" spans="1:78">
      <c r="C32" s="774"/>
      <c r="D32" s="774"/>
    </row>
  </sheetData>
  <sheetProtection algorithmName="SHA-512" hashValue="lSgF5rpfZAfTejt1NrDJKC9y1ysCZs1CKSvwV2+VWQy15S1/CJfpRSTLG1CbUYc5b7dkk7ct6wZ/ThQ6Zpi5Fg==" saltValue="G0XLcuXMfhwvCbT8urmDsg==" spinCount="100000" sheet="1" objects="1" scenarios="1"/>
  <mergeCells count="55">
    <mergeCell ref="BW5:BW7"/>
    <mergeCell ref="AZ5:AZ7"/>
    <mergeCell ref="BB5:BB7"/>
    <mergeCell ref="BC5:BC7"/>
    <mergeCell ref="AR5:AR7"/>
    <mergeCell ref="AS5:AS7"/>
    <mergeCell ref="AT5:AT7"/>
    <mergeCell ref="AU5:AU7"/>
    <mergeCell ref="AV5:AV7"/>
    <mergeCell ref="AX5:AX7"/>
    <mergeCell ref="AW5:AW7"/>
    <mergeCell ref="AY5:AY7"/>
    <mergeCell ref="BA5:BA7"/>
    <mergeCell ref="AQ5:AQ7"/>
    <mergeCell ref="AF5:AF7"/>
    <mergeCell ref="AG5:AG7"/>
    <mergeCell ref="AH5:AH7"/>
    <mergeCell ref="AI5:AI7"/>
    <mergeCell ref="AJ5:AJ7"/>
    <mergeCell ref="AK5:AK7"/>
    <mergeCell ref="AL5:AL7"/>
    <mergeCell ref="AM5:AM7"/>
    <mergeCell ref="AN5:AN7"/>
    <mergeCell ref="AO5:AO7"/>
    <mergeCell ref="AP5:AP7"/>
    <mergeCell ref="AE5:AE7"/>
    <mergeCell ref="T5:T7"/>
    <mergeCell ref="U5:U7"/>
    <mergeCell ref="V5:V7"/>
    <mergeCell ref="W5:W7"/>
    <mergeCell ref="X5:X7"/>
    <mergeCell ref="Y5:Y7"/>
    <mergeCell ref="Z5:Z7"/>
    <mergeCell ref="AA5:AA7"/>
    <mergeCell ref="AB5:AB7"/>
    <mergeCell ref="AC5:AC7"/>
    <mergeCell ref="AD5:AD7"/>
    <mergeCell ref="S5:S7"/>
    <mergeCell ref="H5:H7"/>
    <mergeCell ref="I5:I7"/>
    <mergeCell ref="J5:J7"/>
    <mergeCell ref="K5:K7"/>
    <mergeCell ref="L5:L7"/>
    <mergeCell ref="M5:M7"/>
    <mergeCell ref="N5:N7"/>
    <mergeCell ref="O5:O7"/>
    <mergeCell ref="P5:P7"/>
    <mergeCell ref="Q5:Q7"/>
    <mergeCell ref="R5:R7"/>
    <mergeCell ref="G5:G7"/>
    <mergeCell ref="A5:A7"/>
    <mergeCell ref="C5:C6"/>
    <mergeCell ref="D5:D7"/>
    <mergeCell ref="E5:E7"/>
    <mergeCell ref="F5:F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816</v>
      </c>
    </row>
    <row r="3" spans="2:5" ht="16.5" customHeight="1" thickBot="1">
      <c r="B3" s="1140" t="s">
        <v>817</v>
      </c>
      <c r="C3" s="1140" t="s">
        <v>818</v>
      </c>
      <c r="D3" s="1140" t="s">
        <v>819</v>
      </c>
      <c r="E3" s="1148" t="s">
        <v>824</v>
      </c>
    </row>
  </sheetData>
  <sheetProtection algorithmName="SHA-512" hashValue="FvO/WK+Q8gv5qMcMkYTkwb7K1A/5syb02BxkDx1ZFaGQp5YbXEcLSs1lLZSF7CrqgNFXVMPPKbEM7y598UqFlA==" saltValue="NzUCcoGN6v56Pl90tYSt5Q=="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Z32"/>
  <sheetViews>
    <sheetView topLeftCell="C1" zoomScale="82" zoomScaleNormal="82" workbookViewId="0">
      <selection activeCell="C1" sqref="C1"/>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77" width="11.42578125" style="645"/>
    <col min="78" max="78" width="0" style="1026" hidden="1" customWidth="1"/>
    <col min="79" max="16384" width="11.42578125" style="645"/>
  </cols>
  <sheetData>
    <row r="1" spans="1:78">
      <c r="C1" s="644" t="str">
        <f>Criterios!A9 &amp;"  "&amp;Criterios!B9</f>
        <v>Tribunales de Justicia  ANDALUCIA</v>
      </c>
      <c r="W1"/>
      <c r="X1"/>
    </row>
    <row r="2" spans="1:78" ht="16.5" customHeight="1">
      <c r="C2" s="488" t="str">
        <f>Criterios!A10 &amp;"  "&amp;Criterios!B10 &amp; "  " &amp; IF(NOT(ISBLANK(Criterios!A11)),Criterios!A11 &amp;"  "&amp;Criterios!B11,"")</f>
        <v>Provincias  HUELVA  Resumenes por Partidos Judiciales  VALVERDE DEL CAMINO</v>
      </c>
      <c r="D2" s="644"/>
      <c r="E2" s="649"/>
      <c r="F2" s="649"/>
      <c r="G2" s="650"/>
      <c r="H2" s="649"/>
      <c r="I2" s="651"/>
      <c r="J2" s="649"/>
      <c r="K2" s="649"/>
      <c r="L2" s="652"/>
      <c r="M2" s="652"/>
      <c r="N2" s="649"/>
      <c r="O2" s="649"/>
      <c r="S2" s="649"/>
      <c r="T2" s="649"/>
      <c r="U2" s="653"/>
      <c r="V2" s="653"/>
      <c r="W2" s="649"/>
      <c r="X2" s="649"/>
      <c r="Y2" s="782"/>
      <c r="BC2" s="262"/>
      <c r="BD2" s="262"/>
      <c r="BE2" s="649"/>
    </row>
    <row r="3" spans="1:78" ht="16.5" customHeight="1">
      <c r="C3" s="654"/>
      <c r="D3" s="655"/>
      <c r="G3" s="650"/>
      <c r="H3" s="649"/>
      <c r="W3"/>
      <c r="X3"/>
      <c r="BZ3" s="471"/>
    </row>
    <row r="4" spans="1:78"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c r="BZ4" s="471"/>
    </row>
    <row r="5" spans="1:78" ht="15.75" customHeight="1">
      <c r="A5" s="1263" t="s">
        <v>351</v>
      </c>
      <c r="B5" s="272"/>
      <c r="C5" s="1263" t="str">
        <f>"Año:  " &amp;Criterios!B$5 &amp; "          Trimestre   " &amp;Criterios!D$5 &amp; " al " &amp;Criterios!D$6</f>
        <v>Año:  2024          Trimestre   3 al 3</v>
      </c>
      <c r="D5" s="1492" t="s">
        <v>424</v>
      </c>
      <c r="E5" s="1492" t="s">
        <v>560</v>
      </c>
      <c r="F5" s="1503" t="s">
        <v>406</v>
      </c>
      <c r="G5" s="1492" t="s">
        <v>128</v>
      </c>
      <c r="H5" s="1492" t="s">
        <v>693</v>
      </c>
      <c r="I5" s="1492" t="s">
        <v>694</v>
      </c>
      <c r="J5" s="1492" t="s">
        <v>697</v>
      </c>
      <c r="K5" s="1492" t="s">
        <v>698</v>
      </c>
      <c r="L5" s="1492" t="s">
        <v>588</v>
      </c>
      <c r="M5" s="1492" t="s">
        <v>719</v>
      </c>
      <c r="N5" s="1492" t="s">
        <v>699</v>
      </c>
      <c r="O5" s="1492" t="s">
        <v>695</v>
      </c>
      <c r="P5" s="1492" t="s">
        <v>168</v>
      </c>
      <c r="Q5" s="1492" t="s">
        <v>676</v>
      </c>
      <c r="R5" s="1492" t="s">
        <v>720</v>
      </c>
      <c r="S5" s="1492" t="str">
        <f>"Ingreso Computable 2003" &amp; IF(OR(EXACT(LEFT(boletin,2),"04"),EXACT(LEFT(boletin,2),"14"),EXACT(LEFT(boletin,2),"17"))," (Civil + Penal)","")</f>
        <v>Ingreso Computable 2003</v>
      </c>
      <c r="T5" s="1492" t="s">
        <v>696</v>
      </c>
      <c r="U5" s="1498" t="str">
        <f>"% Ingreso Computable 2003" &amp; IF(OR(EXACT(LEFT(boletin,2),"04"),EXACT(LEFT(boletin,2),"14"),EXACT(LEFT(boletin,2),"17"))," (Civil + Penal)","")</f>
        <v>% Ingreso Computable 2003</v>
      </c>
      <c r="V5" s="1498" t="s">
        <v>700</v>
      </c>
      <c r="W5" s="1492" t="s">
        <v>764</v>
      </c>
      <c r="X5" s="1492" t="s">
        <v>765</v>
      </c>
      <c r="Y5" s="1512" t="s">
        <v>667</v>
      </c>
      <c r="Z5" s="1549" t="str">
        <f>"RESOLUCION Nº  H/P" &amp; IF(OR(EXACT(LEFT(boletin,2),"04"),EXACT(LEFT(boletin,2),"14"),EXACT(LEFT(boletin,2),"17"))," (Civil + Penal)","")</f>
        <v>RESOLUCION Nº  H/P</v>
      </c>
      <c r="AA5" s="1552" t="str">
        <f>" % S/Iindicador  De  Resolución (Horas punto)" &amp; IF(OR(EXACT(LEFT(boletin,2),"04"),EXACT(LEFT(boletin,2),"14"),EXACT(LEFT(boletin,2),"17"))," (Civil + Penal)","")</f>
        <v xml:space="preserve"> % S/Iindicador  De  Resolución (Horas punto)</v>
      </c>
      <c r="AB5" s="1549" t="s">
        <v>701</v>
      </c>
      <c r="AC5" s="1549" t="s">
        <v>702</v>
      </c>
      <c r="AD5" s="1549" t="s">
        <v>703</v>
      </c>
      <c r="AE5" s="1549" t="s">
        <v>704</v>
      </c>
      <c r="AF5" s="1492" t="s">
        <v>705</v>
      </c>
      <c r="AG5" s="1492" t="s">
        <v>706</v>
      </c>
      <c r="AH5" s="1492" t="s">
        <v>707</v>
      </c>
      <c r="AI5" s="1492" t="s">
        <v>708</v>
      </c>
      <c r="AJ5" s="1492" t="s">
        <v>182</v>
      </c>
      <c r="AK5" s="1521" t="s">
        <v>539</v>
      </c>
      <c r="AL5" s="1521" t="s">
        <v>183</v>
      </c>
      <c r="AM5" s="1492" t="s">
        <v>570</v>
      </c>
      <c r="AN5" s="1492" t="s">
        <v>247</v>
      </c>
      <c r="AO5" s="1492" t="s">
        <v>248</v>
      </c>
      <c r="AP5" s="1492" t="s">
        <v>709</v>
      </c>
      <c r="AQ5" s="1492" t="s">
        <v>710</v>
      </c>
      <c r="AR5" s="1492" t="s">
        <v>711</v>
      </c>
      <c r="AS5" s="1492" t="s">
        <v>712</v>
      </c>
      <c r="AT5" s="1492" t="s">
        <v>713</v>
      </c>
      <c r="AU5" s="1492" t="s">
        <v>714</v>
      </c>
      <c r="AV5" s="1492" t="s">
        <v>715</v>
      </c>
      <c r="AW5" s="1492" t="s">
        <v>716</v>
      </c>
      <c r="AX5" s="1492" t="s">
        <v>838</v>
      </c>
      <c r="AY5" s="1492" t="s">
        <v>841</v>
      </c>
      <c r="AZ5" s="1492" t="s">
        <v>717</v>
      </c>
      <c r="BA5" s="1492" t="s">
        <v>718</v>
      </c>
      <c r="BB5" s="1492" t="s">
        <v>538</v>
      </c>
      <c r="BC5" s="1325" t="s">
        <v>725</v>
      </c>
      <c r="BD5" s="1325" t="s">
        <v>726</v>
      </c>
      <c r="BE5" s="1503" t="s">
        <v>727</v>
      </c>
      <c r="BF5" s="1557"/>
      <c r="BG5" s="1558"/>
      <c r="BH5" s="1557"/>
      <c r="BI5" s="1558"/>
      <c r="BJ5" s="1557"/>
      <c r="BK5" s="1558"/>
      <c r="BL5" s="1557"/>
      <c r="BM5" s="1558"/>
      <c r="BZ5" s="471"/>
    </row>
    <row r="6" spans="1:78" ht="21.75" customHeight="1">
      <c r="A6" s="1546"/>
      <c r="B6" s="659"/>
      <c r="C6" s="1548"/>
      <c r="D6" s="1493"/>
      <c r="E6" s="1493"/>
      <c r="F6" s="1504"/>
      <c r="G6" s="1493"/>
      <c r="H6" s="1493"/>
      <c r="I6" s="1493"/>
      <c r="J6" s="1493"/>
      <c r="K6" s="1493"/>
      <c r="L6" s="1493"/>
      <c r="M6" s="1493"/>
      <c r="N6" s="1493"/>
      <c r="O6" s="1493"/>
      <c r="P6" s="1493"/>
      <c r="Q6" s="1493"/>
      <c r="R6" s="1493"/>
      <c r="S6" s="1493"/>
      <c r="T6" s="1493"/>
      <c r="U6" s="1499"/>
      <c r="V6" s="1499"/>
      <c r="W6" s="1493"/>
      <c r="X6" s="1493"/>
      <c r="Y6" s="1513"/>
      <c r="Z6" s="1550"/>
      <c r="AA6" s="1553"/>
      <c r="AB6" s="1550"/>
      <c r="AC6" s="1550"/>
      <c r="AD6" s="1550"/>
      <c r="AE6" s="1550"/>
      <c r="AF6" s="1493"/>
      <c r="AG6" s="1493"/>
      <c r="AH6" s="1493"/>
      <c r="AI6" s="1493"/>
      <c r="AJ6" s="1493"/>
      <c r="AK6" s="1522"/>
      <c r="AL6" s="1522"/>
      <c r="AM6" s="1493"/>
      <c r="AN6" s="1493"/>
      <c r="AO6" s="1493"/>
      <c r="AP6" s="1493"/>
      <c r="AQ6" s="1493"/>
      <c r="AR6" s="1493"/>
      <c r="AS6" s="1493"/>
      <c r="AT6" s="1493"/>
      <c r="AU6" s="1493"/>
      <c r="AV6" s="1493"/>
      <c r="AW6" s="1493"/>
      <c r="AX6" s="1493"/>
      <c r="AY6" s="1493"/>
      <c r="AZ6" s="1493"/>
      <c r="BA6" s="1493"/>
      <c r="BB6" s="1493"/>
      <c r="BC6" s="1326"/>
      <c r="BD6" s="1326"/>
      <c r="BE6" s="1504"/>
      <c r="BF6" s="1555"/>
      <c r="BG6" s="1555"/>
      <c r="BH6" s="1555"/>
      <c r="BI6" s="1555"/>
      <c r="BJ6" s="1555"/>
      <c r="BK6" s="1555"/>
      <c r="BL6" s="1555"/>
      <c r="BM6" s="1555"/>
      <c r="BZ6" s="471"/>
    </row>
    <row r="7" spans="1:78" ht="38.25" customHeight="1" thickBot="1">
      <c r="A7" s="1547"/>
      <c r="B7" s="660"/>
      <c r="C7" s="661" t="str">
        <f>Datos!A7</f>
        <v>COMPETENCIAS</v>
      </c>
      <c r="D7" s="1494"/>
      <c r="E7" s="1494"/>
      <c r="F7" s="1505"/>
      <c r="G7" s="1494"/>
      <c r="H7" s="1494"/>
      <c r="I7" s="1494"/>
      <c r="J7" s="1494"/>
      <c r="K7" s="1494"/>
      <c r="L7" s="1494"/>
      <c r="M7" s="1494"/>
      <c r="N7" s="1494"/>
      <c r="O7" s="1494"/>
      <c r="P7" s="1494"/>
      <c r="Q7" s="1494"/>
      <c r="R7" s="1494"/>
      <c r="S7" s="1494"/>
      <c r="T7" s="1494"/>
      <c r="U7" s="1500"/>
      <c r="V7" s="1500"/>
      <c r="W7" s="1494"/>
      <c r="X7" s="1494"/>
      <c r="Y7" s="1514"/>
      <c r="Z7" s="1551"/>
      <c r="AA7" s="1554"/>
      <c r="AB7" s="1551"/>
      <c r="AC7" s="1551"/>
      <c r="AD7" s="1551"/>
      <c r="AE7" s="1551"/>
      <c r="AF7" s="1494"/>
      <c r="AG7" s="1494"/>
      <c r="AH7" s="1494"/>
      <c r="AI7" s="1494"/>
      <c r="AJ7" s="1494"/>
      <c r="AK7" s="1523"/>
      <c r="AL7" s="1523"/>
      <c r="AM7" s="1494"/>
      <c r="AN7" s="1494"/>
      <c r="AO7" s="1494"/>
      <c r="AP7" s="1494"/>
      <c r="AQ7" s="1494"/>
      <c r="AR7" s="1494"/>
      <c r="AS7" s="1494"/>
      <c r="AT7" s="1494"/>
      <c r="AU7" s="1494"/>
      <c r="AV7" s="1494"/>
      <c r="AW7" s="1494"/>
      <c r="AX7" s="1494"/>
      <c r="AY7" s="1494"/>
      <c r="AZ7" s="1494"/>
      <c r="BA7" s="1494"/>
      <c r="BB7" s="1494"/>
      <c r="BC7" s="1559"/>
      <c r="BD7" s="1559"/>
      <c r="BE7" s="1505"/>
      <c r="BF7" s="1556"/>
      <c r="BG7" s="1556"/>
      <c r="BH7" s="1556"/>
      <c r="BI7" s="1556"/>
      <c r="BJ7" s="1556"/>
      <c r="BK7" s="1556"/>
      <c r="BL7" s="1556"/>
      <c r="BM7" s="1556"/>
      <c r="BZ7" s="471"/>
    </row>
    <row r="8" spans="1:78"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78" ht="15">
      <c r="A9" s="501">
        <f>Datos!AO9</f>
        <v>0</v>
      </c>
      <c r="B9" s="501" t="s">
        <v>246</v>
      </c>
      <c r="C9" s="160" t="str">
        <f>Datos!A9</f>
        <v xml:space="preserve">Jdos. 1ª Instancia   </v>
      </c>
      <c r="D9" s="502"/>
      <c r="E9" s="682">
        <f>IF(ISNUMBER(Datos!AQ9),Datos!AQ9," - ")</f>
        <v>0</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c r="BZ9" s="1186">
        <f>Datos!EZ9</f>
        <v>0</v>
      </c>
    </row>
    <row r="10" spans="1:78" ht="15">
      <c r="A10" s="501">
        <f>Datos!AO10</f>
        <v>1</v>
      </c>
      <c r="B10" s="507" t="s">
        <v>246</v>
      </c>
      <c r="C10" s="7" t="str">
        <f>Datos!A10</f>
        <v>Jdos. Violencia contra la mujer</v>
      </c>
      <c r="D10" s="508"/>
      <c r="E10" s="682">
        <f>IF(ISNUMBER(Datos!AQ10),Datos!AQ10," - ")</f>
        <v>0</v>
      </c>
      <c r="F10" s="683">
        <f>IF(ISNUMBER(Datos!L10+Datos!K10-Datos!J10),Datos!L10+Datos!K10-Datos!J10," - ")</f>
        <v>17</v>
      </c>
      <c r="G10" s="684">
        <f>IF(ISNUMBER(Datos!I10),Datos!I10," - ")</f>
        <v>17</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0</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t="str">
        <f>IF(ISNUMBER(DatosP!AS17/E10),DatosP!AS17/E10," - ")</f>
        <v xml:space="preserve"> - </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2</v>
      </c>
      <c r="AC10" s="683" t="str">
        <f>IF(ISNUMBER(IF(D_I="SI",DatosP!K17,DatosP!K17+DatosP!AE17)),IF(D_I="SI",DatosP!K17,DatosP!K17+DatosP!AE17)," - ")</f>
        <v xml:space="preserve"> - </v>
      </c>
      <c r="AD10" s="685"/>
      <c r="AE10" s="685"/>
      <c r="AF10" s="688">
        <f>IF(ISNUMBER(Datos!L10),Datos!L10,"-")</f>
        <v>17</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1</v>
      </c>
      <c r="AM10" s="690">
        <f>IF(ISNUMBER(Datos!N10+DatosP!N17),Datos!N10+DatosP!N17," - ")</f>
        <v>1</v>
      </c>
      <c r="AN10" s="690">
        <f>IF(ISNUMBER(Datos!BW10+DatosP!BW17),Datos!BW10+DatosP!BW17," - ")</f>
        <v>0</v>
      </c>
      <c r="AO10" s="691">
        <f>IF(ISNUMBER(Datos!BX10+DatosP!BX17),Datos!BX10+DatosP!BX17," - ")</f>
        <v>0</v>
      </c>
      <c r="AP10" s="693">
        <f>IF(ISNUMBER(((Datos!L10/Datos!K10)*11)/factor_trimestre),((Datos!L10/Datos!K10)*11)/factor_trimestre," - ")</f>
        <v>17</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c r="BZ10" s="1186">
        <f>Datos!EZ10</f>
        <v>0</v>
      </c>
    </row>
    <row r="11" spans="1:78" ht="15">
      <c r="A11" s="501">
        <f>Datos!AO11</f>
        <v>0</v>
      </c>
      <c r="B11" s="507" t="s">
        <v>246</v>
      </c>
      <c r="C11" s="7" t="str">
        <f>Datos!A11</f>
        <v xml:space="preserve">Jdos. Familia                                   </v>
      </c>
      <c r="D11" s="508"/>
      <c r="E11" s="682">
        <f>IF(ISNUMBER(Datos!AQ11),Datos!AQ11," - ")</f>
        <v>0</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c r="BZ11" s="1186">
        <f>Datos!EZ11</f>
        <v>0</v>
      </c>
    </row>
    <row r="12" spans="1:78" ht="15.75" thickBot="1">
      <c r="A12" s="501">
        <f>Datos!AO12</f>
        <v>2</v>
      </c>
      <c r="B12" s="507" t="s">
        <v>246</v>
      </c>
      <c r="C12" s="7" t="str">
        <f>Datos!A12</f>
        <v xml:space="preserve">Jdos. 1ª Instª. e Instr.                        </v>
      </c>
      <c r="D12" s="508"/>
      <c r="E12" s="682">
        <f>IF(ISNUMBER(Datos!AQ12),Datos!AQ12," - ")</f>
        <v>2</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94</v>
      </c>
      <c r="O12" s="685">
        <f>IF(ISNUMBER(DatosP!P16),DatosP!P16,0)</f>
        <v>0</v>
      </c>
      <c r="P12" s="685" t="str">
        <f>IF(ISNUMBER(DatosP!DE16),DatosP!DE16," - ")</f>
        <v xml:space="preserve"> - </v>
      </c>
      <c r="Q12" s="686"/>
      <c r="R12" s="686"/>
      <c r="S12" s="685" t="str">
        <f>IF(ISNUMBER(Datos!AS12*(2500/380)+DatosP!AS16),Datos!AS12*(2500/380)+DatosP!AS16," - ")</f>
        <v xml:space="preserve"> - </v>
      </c>
      <c r="T12" s="685">
        <f>IF(ISNUMBER(DatosP!AS16/E12),DatosP!AS16/E12," - ")</f>
        <v>0</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f>IF(ISNUMBER(Datos!Q12),Datos!Q12," - ")</f>
        <v>47</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f>IF(ISNUMBER(Datos!R12),Datos!R12," - ")</f>
        <v>2053</v>
      </c>
      <c r="AI12" s="689" t="str">
        <f>IF(ISNUMBER(DatosP!R16),DatosP!R16," - ")</f>
        <v xml:space="preserve"> - </v>
      </c>
      <c r="AJ12" s="682">
        <f>IF(ISNUMBER(Datos!BV12+DatosP!BV16),Datos!BV12+DatosP!BV16," - ")</f>
        <v>0</v>
      </c>
      <c r="AK12" s="672" t="str">
        <f>IF(ISNUMBER(Datos!DV12),Datos!DV12," - ")</f>
        <v xml:space="preserve"> - </v>
      </c>
      <c r="AL12" s="683">
        <f>IF(ISNUMBER(Datos!M12+DatosP!M16),Datos!M12+DatosP!M16," - ")</f>
        <v>87</v>
      </c>
      <c r="AM12" s="690">
        <f>IF(ISNUMBER(Datos!N12+DatosP!N16),Datos!N12+DatosP!N16," - ")</f>
        <v>153</v>
      </c>
      <c r="AN12" s="690">
        <f>IF(ISNUMBER(Datos!BW12+DatosP!BW16),Datos!BW12+DatosP!BW16," - ")</f>
        <v>0</v>
      </c>
      <c r="AO12" s="691">
        <f>IF(ISNUMBER(Datos!BX12+DatosP!BX16),Datos!BX12+DatosP!BX16," - ")</f>
        <v>0</v>
      </c>
      <c r="AP12" s="693">
        <f>IF(ISNUMBER(((IF(J_V="SI",Datos!L12/Datos!K12,(Datos!L12+Datos!AB12)/(Datos!K12+Datos!AA12)))*11)/factor_trimestre),((IF(J_V="SI",Datos!L12/Datos!K12,(Datos!L12+Datos!AB12)/(Datos!K12+Datos!AA12)))*11)/factor_trimestre," - ")</f>
        <v>10.488431876606684</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f>IF(ISNUMBER((Datos!P12-Datos!Q12+Datos!DE12)/(Datos!R12-Datos!P12+Datos!Q12-Datos!DE12)),(Datos!P12-Datos!Q12+Datos!DE12)/(Datos!R12-Datos!P12+Datos!Q12-Datos!DE12)," - ")</f>
        <v>2.3429710867397806E-2</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c r="BZ12" s="1186">
        <f>Datos!EZ12</f>
        <v>0</v>
      </c>
    </row>
    <row r="13" spans="1:78" ht="15.75" thickTop="1" thickBot="1">
      <c r="A13" s="701"/>
      <c r="B13" s="701"/>
      <c r="C13" s="936" t="str">
        <f>Datos!A13</f>
        <v>TOTAL</v>
      </c>
      <c r="D13" s="937"/>
      <c r="E13" s="937">
        <f t="shared" ref="E13:V13" si="0">SUBTOTAL(9,E8:E12)</f>
        <v>2</v>
      </c>
      <c r="F13" s="938">
        <f t="shared" si="0"/>
        <v>17</v>
      </c>
      <c r="G13" s="938">
        <f t="shared" si="0"/>
        <v>17</v>
      </c>
      <c r="H13" s="938">
        <f t="shared" si="0"/>
        <v>0</v>
      </c>
      <c r="I13" s="940">
        <f t="shared" si="0"/>
        <v>0</v>
      </c>
      <c r="J13" s="939">
        <f t="shared" si="0"/>
        <v>0</v>
      </c>
      <c r="K13" s="939">
        <f t="shared" si="0"/>
        <v>0</v>
      </c>
      <c r="L13" s="941">
        <f t="shared" si="0"/>
        <v>0</v>
      </c>
      <c r="M13" s="941">
        <f t="shared" si="0"/>
        <v>0</v>
      </c>
      <c r="N13" s="939">
        <f t="shared" si="0"/>
        <v>94</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2</v>
      </c>
      <c r="AC13" s="939">
        <f t="shared" si="1"/>
        <v>0</v>
      </c>
      <c r="AD13" s="939">
        <f t="shared" si="1"/>
        <v>47</v>
      </c>
      <c r="AE13" s="939">
        <f t="shared" si="1"/>
        <v>0</v>
      </c>
      <c r="AF13" s="939">
        <f t="shared" si="1"/>
        <v>17</v>
      </c>
      <c r="AG13" s="939">
        <f t="shared" si="1"/>
        <v>0</v>
      </c>
      <c r="AH13" s="939">
        <f t="shared" si="1"/>
        <v>2053</v>
      </c>
      <c r="AI13" s="939">
        <f t="shared" si="1"/>
        <v>0</v>
      </c>
      <c r="AJ13" s="939">
        <f t="shared" si="1"/>
        <v>0</v>
      </c>
      <c r="AK13" s="939">
        <f t="shared" si="1"/>
        <v>0</v>
      </c>
      <c r="AL13" s="939">
        <f t="shared" si="1"/>
        <v>88</v>
      </c>
      <c r="AM13" s="939">
        <f t="shared" si="1"/>
        <v>154</v>
      </c>
      <c r="AN13" s="939">
        <f t="shared" si="1"/>
        <v>0</v>
      </c>
      <c r="AO13" s="939">
        <f t="shared" si="1"/>
        <v>0</v>
      </c>
      <c r="AP13" s="944">
        <f>IF(ISNUMBER(((Datos!L13/Datos!K13)*11)/factor_trimestre),((Datos!L13/Datos!K13)*11)/factor_trimestre," - ")</f>
        <v>11.106145251396647</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f>IF(OR(ISNUMBER(FIND("04",Criterios!A8,1))),(BC13-AB13+J13)/(F13-J13),(H13-AB13+J13)/(F13-J13))</f>
        <v>-0.11764705882352941</v>
      </c>
      <c r="AU13" s="939" t="str">
        <f>IF(ISNUMBER((DatosP!#REF!-DatosP!#REF!+DatosP!#REF!)/(DatosP!#REF!+DatosP!#REF!-DatosP!#REF!-DatosP!#REF!)),(DatosP!#REF!-DatosP!#REF!+DatosP!#REF!)/(DatosP!#REF!+DatosP!#REF!-DatosP!#REF!-DatosP!#REF!)," - ")</f>
        <v xml:space="preserve"> - </v>
      </c>
      <c r="AV13" s="945">
        <f>SUBTOTAL(9,AV9:AV12)</f>
        <v>2.3429710867397806E-2</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c r="BZ13" s="1186"/>
    </row>
    <row r="14" spans="1:78"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c r="BZ14" s="1186">
        <f>Datos!EZ14</f>
        <v>0</v>
      </c>
    </row>
    <row r="15" spans="1:78" s="721" customFormat="1" ht="14.25">
      <c r="A15" s="593">
        <f>Datos!AO15</f>
        <v>0</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c r="BZ15" s="1186">
        <f>Datos!EZ15</f>
        <v>0</v>
      </c>
    </row>
    <row r="16" spans="1:78" ht="15">
      <c r="A16" s="501">
        <f>Datos!AO16</f>
        <v>2</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c r="BZ16" s="1186">
        <f>Datos!EZ16</f>
        <v>0</v>
      </c>
    </row>
    <row r="17" spans="1:78" ht="15" thickBot="1">
      <c r="A17" s="501">
        <f>Datos!AO17</f>
        <v>1</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c r="BZ17" s="1186">
        <f>Datos!EZ17</f>
        <v>0</v>
      </c>
    </row>
    <row r="18" spans="1:78"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7.3562005277044866</v>
      </c>
      <c r="AQ18" s="944">
        <f>IF(ISNUMBER(((Datos!M18/Datos!L18)*11)/factor_trimestre),((Datos!M18/Datos!L18)*11)/factor_trimestre," - ")</f>
        <v>9.6126255380200865E-2</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-1.2658227848101266E-2</v>
      </c>
      <c r="AW18" s="946">
        <f>IF(ISNUMBER((Datos!Q18-Datos!R18)/(Datos!S18-Datos!Q18+Datos!R18)),(Datos!Q18-Datos!R18)/(Datos!S18-Datos!Q18+Datos!R18)," - ")</f>
        <v>-7.9532163742690065E-2</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c r="BZ18" s="1186"/>
    </row>
    <row r="19" spans="1:78" ht="18.75" customHeight="1" thickTop="1" thickBot="1">
      <c r="A19" s="728"/>
      <c r="B19" s="728"/>
      <c r="C19" s="949" t="str">
        <f>Datos!A19</f>
        <v>TOTAL JURISDICCIONES</v>
      </c>
      <c r="D19" s="949"/>
      <c r="E19" s="950">
        <f t="shared" ref="E19:T19" si="4">SUBTOTAL(9,E9:E18)</f>
        <v>2</v>
      </c>
      <c r="F19" s="951">
        <f t="shared" si="4"/>
        <v>17</v>
      </c>
      <c r="G19" s="951">
        <f t="shared" si="4"/>
        <v>17</v>
      </c>
      <c r="H19" s="951">
        <f t="shared" si="4"/>
        <v>0</v>
      </c>
      <c r="I19" s="952">
        <f t="shared" si="4"/>
        <v>0</v>
      </c>
      <c r="J19" s="953">
        <f t="shared" si="4"/>
        <v>0</v>
      </c>
      <c r="K19" s="953">
        <f t="shared" si="4"/>
        <v>0</v>
      </c>
      <c r="L19" s="953">
        <f t="shared" si="4"/>
        <v>0</v>
      </c>
      <c r="M19" s="953">
        <f t="shared" si="4"/>
        <v>0</v>
      </c>
      <c r="N19" s="952">
        <f t="shared" si="4"/>
        <v>94</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2</v>
      </c>
      <c r="AC19" s="957">
        <f t="shared" si="5"/>
        <v>0</v>
      </c>
      <c r="AD19" s="957">
        <f t="shared" si="5"/>
        <v>47</v>
      </c>
      <c r="AE19" s="957">
        <f t="shared" si="5"/>
        <v>0</v>
      </c>
      <c r="AF19" s="958">
        <f t="shared" si="5"/>
        <v>17</v>
      </c>
      <c r="AG19" s="958">
        <f t="shared" si="5"/>
        <v>0</v>
      </c>
      <c r="AH19" s="958">
        <f t="shared" si="5"/>
        <v>2053</v>
      </c>
      <c r="AI19" s="958">
        <f t="shared" si="5"/>
        <v>0</v>
      </c>
      <c r="AJ19" s="959">
        <f t="shared" si="5"/>
        <v>0</v>
      </c>
      <c r="AK19" s="959">
        <f t="shared" si="5"/>
        <v>0</v>
      </c>
      <c r="AL19" s="951">
        <f t="shared" si="5"/>
        <v>88</v>
      </c>
      <c r="AM19" s="951">
        <f t="shared" si="5"/>
        <v>154</v>
      </c>
      <c r="AN19" s="951">
        <f t="shared" si="5"/>
        <v>0</v>
      </c>
      <c r="AO19" s="951">
        <f t="shared" si="5"/>
        <v>0</v>
      </c>
      <c r="AP19" s="951">
        <f>IF(ISNUMBER(((Datos!L19/Datos!K19)*11)/factor_trimestre),((Datos!L19/Datos!K19)*11)/factor_trimestre," - ")</f>
        <v>9.17774762550882</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f>IF(OR(ISNUMBER(FIND("04",Criterios!A8,1))),(BC19-AB19+J19)/(F19-J19),(H19-AB19+J19)/(F19-J19))</f>
        <v>-0.11764705882352941</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2.2062350119904078E-2</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78"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11.333333333333334</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78" ht="18.75" hidden="1" customHeight="1">
      <c r="A21" s="733"/>
      <c r="B21" s="733"/>
      <c r="C21" s="733" t="s">
        <v>265</v>
      </c>
      <c r="D21" s="734"/>
      <c r="E21" s="735">
        <f>IF(ISNUMBER(STDEV(E8:E18)),STDEV(E8:E18),"-")</f>
        <v>1.0327955589886446</v>
      </c>
      <c r="F21" s="736">
        <f>IF(ISNUMBER(STDEV(F8:F18)),STDEV(F8:F18),"-")</f>
        <v>9.8149545762236379</v>
      </c>
      <c r="G21" s="737">
        <f>IF(ISNUMBER(STDEV(G8:G18)),STDEV(G8:G18),"-")</f>
        <v>9.8149545762236379</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1.1547005383792517</v>
      </c>
      <c r="AC21" s="738">
        <f>IF(ISNUMBER(STDEV(AC8:AC18)),STDEV(AC8:AC18),"-")</f>
        <v>0</v>
      </c>
      <c r="AD21" s="741"/>
      <c r="AE21" s="741"/>
      <c r="AF21" s="741"/>
      <c r="AG21" s="741"/>
      <c r="AH21" s="741"/>
      <c r="AI21" s="741"/>
      <c r="AJ21" s="742">
        <f>IF(ISNUMBER(STDEV(AJ8:AJ18)),STDEV(AJ8:AJ18),"-")</f>
        <v>0</v>
      </c>
      <c r="AK21" s="744"/>
      <c r="AL21" s="736">
        <f>IF(ISNUMBER(STDEV(AL8:AL18)),STDEV(AL8:AL18),"-")</f>
        <v>50.232791414904803</v>
      </c>
      <c r="AM21" s="736"/>
      <c r="AN21" s="736">
        <f>IF(ISNUMBER(STDEV(AN8:AN18)),STDEV(AN8:AN18),"-")</f>
        <v>0</v>
      </c>
      <c r="AO21" s="742">
        <f>IF(ISNUMBER(STDEV(AO8:AO18)),STDEV(AO8:AO18),"-")</f>
        <v>0</v>
      </c>
      <c r="AP21" s="779">
        <f>IF(ISNUMBER(STDEV(AP8:AP18)),STDEV(AP8:AP18),"-")</f>
        <v>4.0248751528490496</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78"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78"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78"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78"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78"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78">
      <c r="C27" s="71"/>
      <c r="D27" s="71"/>
      <c r="W27"/>
      <c r="X27"/>
    </row>
    <row r="30" spans="1:78">
      <c r="C30" s="645" t="str">
        <f>Criterios!A4</f>
        <v>Fecha Informe: 29 nov. 2024</v>
      </c>
      <c r="W30"/>
      <c r="X30"/>
    </row>
    <row r="32" spans="1:78">
      <c r="C32" s="774"/>
      <c r="D32" s="774"/>
      <c r="W32"/>
      <c r="X32"/>
    </row>
  </sheetData>
  <sheetProtection algorithmName="SHA-512" hashValue="k3nF+ztnTPIYSQwLL3F++O+usPj09dOqEZhJR/UGnmPhusxDpbSduEFLmn1qiB6IW1OtDcHuGaN9kdcElNl5MQ==" saltValue="UewKAuQgLOYq2ceKNHZSXg==" spinCount="100000" sheet="1" objects="1" scenarios="1"/>
  <mergeCells count="68">
    <mergeCell ref="AN5:AN7"/>
    <mergeCell ref="AO5:AO7"/>
    <mergeCell ref="AP5:AP7"/>
    <mergeCell ref="AQ5:AQ7"/>
    <mergeCell ref="AJ5:AJ7"/>
    <mergeCell ref="AL5:AL7"/>
    <mergeCell ref="AM5:AM7"/>
    <mergeCell ref="AK5:AK7"/>
    <mergeCell ref="BH6:BH7"/>
    <mergeCell ref="BI6:BI7"/>
    <mergeCell ref="AR5:AR7"/>
    <mergeCell ref="AT5:AT7"/>
    <mergeCell ref="AV5:AV7"/>
    <mergeCell ref="AS5:AS7"/>
    <mergeCell ref="AU5:AU7"/>
    <mergeCell ref="AW5:AW7"/>
    <mergeCell ref="BA5:BA7"/>
    <mergeCell ref="AX5:AX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AH5:AH7"/>
    <mergeCell ref="AI5:AI7"/>
    <mergeCell ref="AE5:AE7"/>
    <mergeCell ref="AF5:AF7"/>
    <mergeCell ref="AG5:AG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G5:G7"/>
    <mergeCell ref="AC5:AC7"/>
    <mergeCell ref="J5:J7"/>
    <mergeCell ref="A5:A7"/>
    <mergeCell ref="C5:C6"/>
    <mergeCell ref="D5:D7"/>
    <mergeCell ref="E5:E7"/>
    <mergeCell ref="F5:F7"/>
    <mergeCell ref="P5:P7"/>
    <mergeCell ref="Q5:Q7"/>
    <mergeCell ref="R5:R7"/>
    <mergeCell ref="S5:S7"/>
    <mergeCell ref="U5:U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usuario_servicio</cp:lastModifiedBy>
  <cp:lastPrinted>2021-10-22T08:26:52Z</cp:lastPrinted>
  <dcterms:created xsi:type="dcterms:W3CDTF">2003-07-15T10:22:03Z</dcterms:created>
  <dcterms:modified xsi:type="dcterms:W3CDTF">2024-11-29T09:35:07Z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